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8D0BE0C-27FA-43A3-8B83-6B812025C7A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70" i="1" l="1"/>
  <c r="E70" i="1"/>
  <c r="F70" i="1"/>
  <c r="G70" i="1"/>
  <c r="K70" i="1"/>
  <c r="Q69" i="1"/>
  <c r="E69" i="1"/>
  <c r="F69" i="1"/>
  <c r="G69" i="1"/>
  <c r="I69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K68" i="1"/>
  <c r="Q68" i="1"/>
  <c r="E21" i="1"/>
  <c r="F21" i="1"/>
  <c r="G21" i="1"/>
  <c r="H21" i="1"/>
  <c r="E22" i="1"/>
  <c r="F22" i="1"/>
  <c r="G22" i="1"/>
  <c r="H22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I52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I60" i="1"/>
  <c r="E61" i="1"/>
  <c r="F61" i="1"/>
  <c r="G61" i="1"/>
  <c r="I61" i="1"/>
  <c r="E62" i="1"/>
  <c r="F62" i="1"/>
  <c r="G62" i="1"/>
  <c r="I62" i="1"/>
  <c r="E45" i="1"/>
  <c r="F45" i="1"/>
  <c r="U45" i="1"/>
  <c r="D9" i="1"/>
  <c r="C9" i="1"/>
  <c r="C23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57" i="2"/>
  <c r="D57" i="2"/>
  <c r="B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A23" i="1"/>
  <c r="F16" i="1"/>
  <c r="F17" i="1" s="1"/>
  <c r="C17" i="1"/>
  <c r="Q23" i="1"/>
  <c r="E23" i="1"/>
  <c r="F23" i="1"/>
  <c r="G23" i="1"/>
  <c r="H23" i="1"/>
  <c r="C12" i="1"/>
  <c r="C11" i="1"/>
  <c r="O46" i="1" l="1"/>
  <c r="O34" i="1"/>
  <c r="O40" i="1"/>
  <c r="O54" i="1"/>
  <c r="O65" i="1"/>
  <c r="O36" i="1"/>
  <c r="O22" i="1"/>
  <c r="O42" i="1"/>
  <c r="O60" i="1"/>
  <c r="O66" i="1"/>
  <c r="O29" i="1"/>
  <c r="O51" i="1"/>
  <c r="O62" i="1"/>
  <c r="O25" i="1"/>
  <c r="O44" i="1"/>
  <c r="O31" i="1"/>
  <c r="O45" i="1"/>
  <c r="O37" i="1"/>
  <c r="O59" i="1"/>
  <c r="C15" i="1"/>
  <c r="F18" i="1" s="1"/>
  <c r="O33" i="1"/>
  <c r="O47" i="1"/>
  <c r="O39" i="1"/>
  <c r="O53" i="1"/>
  <c r="O23" i="1"/>
  <c r="O48" i="1"/>
  <c r="O67" i="1"/>
  <c r="O21" i="1"/>
  <c r="O41" i="1"/>
  <c r="O55" i="1"/>
  <c r="O50" i="1"/>
  <c r="O61" i="1"/>
  <c r="O64" i="1"/>
  <c r="O56" i="1"/>
  <c r="O27" i="1"/>
  <c r="O30" i="1"/>
  <c r="O52" i="1"/>
  <c r="O63" i="1"/>
  <c r="O58" i="1"/>
  <c r="O35" i="1"/>
  <c r="O24" i="1"/>
  <c r="O43" i="1"/>
  <c r="O49" i="1"/>
  <c r="O68" i="1"/>
  <c r="O70" i="1"/>
  <c r="O26" i="1"/>
  <c r="O32" i="1"/>
  <c r="O57" i="1"/>
  <c r="O28" i="1"/>
  <c r="O69" i="1"/>
  <c r="O38" i="1"/>
  <c r="C16" i="1"/>
  <c r="D18" i="1" s="1"/>
  <c r="F19" i="1" l="1"/>
  <c r="C18" i="1"/>
</calcChain>
</file>

<file path=xl/sharedStrings.xml><?xml version="1.0" encoding="utf-8"?>
<sst xmlns="http://schemas.openxmlformats.org/spreadsheetml/2006/main" count="534" uniqueCount="214">
  <si>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</si>
  <si>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</si>
  <si>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</si>
  <si>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</si>
  <si>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</si>
  <si>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</si>
  <si>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</si>
  <si>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</si>
  <si>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</si>
  <si>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</si>
  <si>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</si>
  <si>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</si>
  <si>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</si>
  <si>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</si>
  <si>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</si>
  <si>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</si>
  <si>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</si>
  <si>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</si>
  <si>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</si>
  <si>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</si>
  <si>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</si>
  <si>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</si>
  <si>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</si>
  <si>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</si>
  <si>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</si>
  <si>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</si>
  <si>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</si>
  <si>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</si>
  <si>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</si>
  <si>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</si>
  <si>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</si>
  <si>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</si>
  <si>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</si>
  <si>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</si>
  <si>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</si>
  <si>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</si>
  <si>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</si>
  <si>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</si>
  <si>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</si>
  <si>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</si>
  <si>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</si>
  <si>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</si>
  <si>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</si>
  <si>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</si>
  <si>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</si>
  <si>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</si>
  <si>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</si>
  <si>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</si>
  <si>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</si>
  <si>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</si>
  <si>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V0788 Cyg</t>
  </si>
  <si>
    <t>EA</t>
  </si>
  <si>
    <t>V0788 Cyg / GSC 26620.54</t>
  </si>
  <si>
    <t>2426572.421 </t>
  </si>
  <si>
    <t> 18.08.1931 22:06 </t>
  </si>
  <si>
    <t> -0.270 </t>
  </si>
  <si>
    <t>P </t>
  </si>
  <si>
    <t> E.Geyer </t>
  </si>
  <si>
    <t> KVB 16.3 </t>
  </si>
  <si>
    <t>2426620.359 </t>
  </si>
  <si>
    <t> 05.10.1931 20:36 </t>
  </si>
  <si>
    <t> -0.181 </t>
  </si>
  <si>
    <t> E.Geyer et al. </t>
  </si>
  <si>
    <t> KVB 11.5 </t>
  </si>
  <si>
    <t>2426811.552 </t>
  </si>
  <si>
    <t> 14.04.1932 01:14 </t>
  </si>
  <si>
    <t> -0.383 </t>
  </si>
  <si>
    <t>2426811.593 </t>
  </si>
  <si>
    <t> 14.04.1932 02:13 </t>
  </si>
  <si>
    <t> -0.342 </t>
  </si>
  <si>
    <t>2426860.467 </t>
  </si>
  <si>
    <t> 01.06.1932 23:12 </t>
  </si>
  <si>
    <t> 0.683 </t>
  </si>
  <si>
    <t>2426955.432 </t>
  </si>
  <si>
    <t> 04.09.1932 22:22 </t>
  </si>
  <si>
    <t> -0.049 </t>
  </si>
  <si>
    <t>2427003.255 </t>
  </si>
  <si>
    <t> 22.10.1932 18:07 </t>
  </si>
  <si>
    <t> -0.075 </t>
  </si>
  <si>
    <t>2427314.415 </t>
  </si>
  <si>
    <t> 29.08.1933 21:57 </t>
  </si>
  <si>
    <t> 0.069 </t>
  </si>
  <si>
    <t>2427386.294 </t>
  </si>
  <si>
    <t> 09.11.1933 19:03 </t>
  </si>
  <si>
    <t> 0.175 </t>
  </si>
  <si>
    <t>2431262.24 </t>
  </si>
  <si>
    <t> 20.06.1944 17:45 </t>
  </si>
  <si>
    <t> 0.38 </t>
  </si>
  <si>
    <t> G.S.Filatov </t>
  </si>
  <si>
    <t> AC 173.18 </t>
  </si>
  <si>
    <t>2431310.17 </t>
  </si>
  <si>
    <t> 07.08.1944 16:04 </t>
  </si>
  <si>
    <t> 0.46 </t>
  </si>
  <si>
    <t>2431740.25 </t>
  </si>
  <si>
    <t> 11.10.1945 18:00 </t>
  </si>
  <si>
    <t> -0.10 </t>
  </si>
  <si>
    <t>2432027.27 </t>
  </si>
  <si>
    <t> 25.07.1946 18:28 </t>
  </si>
  <si>
    <t> -0.17 </t>
  </si>
  <si>
    <t>2432745.31 </t>
  </si>
  <si>
    <t> 12.07.1948 19:26 </t>
  </si>
  <si>
    <t> 0.14 </t>
  </si>
  <si>
    <t>2433415.35 </t>
  </si>
  <si>
    <t> 13.05.1950 20:24 </t>
  </si>
  <si>
    <t> 0.29 </t>
  </si>
  <si>
    <t>2433941.2 </t>
  </si>
  <si>
    <t> 21.10.1951 16:48 </t>
  </si>
  <si>
    <t> -0.2 </t>
  </si>
  <si>
    <t> W.Zessewitsch </t>
  </si>
  <si>
    <t> AC 170.12 </t>
  </si>
  <si>
    <t>2434276.4 </t>
  </si>
  <si>
    <t> 20.09.1952 21:36 </t>
  </si>
  <si>
    <t> 0.1 </t>
  </si>
  <si>
    <t>2434611.4 </t>
  </si>
  <si>
    <t> 21.08.1953 21:36 </t>
  </si>
  <si>
    <t>2436022.49 </t>
  </si>
  <si>
    <t> 02.07.1957 23:45 </t>
  </si>
  <si>
    <t> -0.32 </t>
  </si>
  <si>
    <t> P.Ahnert </t>
  </si>
  <si>
    <t> MVS 7.170 </t>
  </si>
  <si>
    <t>2436070.42 </t>
  </si>
  <si>
    <t> 19.08.1957 22:04 </t>
  </si>
  <si>
    <t> -0.24 </t>
  </si>
  <si>
    <t>2436453.34 </t>
  </si>
  <si>
    <t> 06.09.1958 20:09 </t>
  </si>
  <si>
    <t> -0.11 </t>
  </si>
  <si>
    <t>2436454.42 </t>
  </si>
  <si>
    <t> 07.09.1958 22:04 </t>
  </si>
  <si>
    <t> 0.97 </t>
  </si>
  <si>
    <t>2436764.51 </t>
  </si>
  <si>
    <t> 15.07.1959 00:14 </t>
  </si>
  <si>
    <t> 0.05 </t>
  </si>
  <si>
    <t>2436863.40 </t>
  </si>
  <si>
    <t> 21.10.1959 21:36 </t>
  </si>
  <si>
    <t> 3.24 </t>
  </si>
  <si>
    <t>2437171.46 </t>
  </si>
  <si>
    <t> 24.08.1960 23:02 </t>
  </si>
  <si>
    <t> 0.28 </t>
  </si>
  <si>
    <t>2437194.39 </t>
  </si>
  <si>
    <t> 16.09.1960 21:21 </t>
  </si>
  <si>
    <t> -0.71 </t>
  </si>
  <si>
    <t>2437577.926 </t>
  </si>
  <si>
    <t> 05.10.1961 10:13 </t>
  </si>
  <si>
    <t> 0.034 </t>
  </si>
  <si>
    <t> K.Häussler </t>
  </si>
  <si>
    <t> HABZ 23 </t>
  </si>
  <si>
    <t>2437578.42 </t>
  </si>
  <si>
    <t> 05.10.1961 22:04 </t>
  </si>
  <si>
    <t> 0.53 </t>
  </si>
  <si>
    <t>2437960.34 </t>
  </si>
  <si>
    <t> 22.10.1962 20:09 </t>
  </si>
  <si>
    <t> -0.34 </t>
  </si>
  <si>
    <t>2438319.37 </t>
  </si>
  <si>
    <t> 16.10.1963 20:52 </t>
  </si>
  <si>
    <t> -0.18 </t>
  </si>
  <si>
    <t>2439204.63 </t>
  </si>
  <si>
    <t> 20.03.1966 03:07 </t>
  </si>
  <si>
    <t> -0.12 </t>
  </si>
  <si>
    <t>2439611.56 </t>
  </si>
  <si>
    <t> 01.05.1967 01:26 </t>
  </si>
  <si>
    <t> 0.10 </t>
  </si>
  <si>
    <t>2439683.44 </t>
  </si>
  <si>
    <t> 11.07.1967 22:33 </t>
  </si>
  <si>
    <t> 0.20 </t>
  </si>
  <si>
    <t>2439683.47 </t>
  </si>
  <si>
    <t> 11.07.1967 23:16 </t>
  </si>
  <si>
    <t> 0.23 </t>
  </si>
  <si>
    <t>2439827.26 </t>
  </si>
  <si>
    <t> 02.12.1967 18:14 </t>
  </si>
  <si>
    <t> 0.48 </t>
  </si>
  <si>
    <t>2439827.32 </t>
  </si>
  <si>
    <t> 02.12.1967 19:40 </t>
  </si>
  <si>
    <t> 0.54 </t>
  </si>
  <si>
    <t>2440066.44 </t>
  </si>
  <si>
    <t> 28.07.1968 22:33 </t>
  </si>
  <si>
    <t> 0.42 </t>
  </si>
  <si>
    <t>2440425.48 </t>
  </si>
  <si>
    <t> 22.07.1969 23:31 </t>
  </si>
  <si>
    <t> 0.59 </t>
  </si>
  <si>
    <t>2440472.37 </t>
  </si>
  <si>
    <t> 07.09.1969 20:52 </t>
  </si>
  <si>
    <t> -0.37 </t>
  </si>
  <si>
    <t>2440473.39 </t>
  </si>
  <si>
    <t> 08.09.1969 21:21 </t>
  </si>
  <si>
    <t> 0.65 </t>
  </si>
  <si>
    <t>2440831.44 </t>
  </si>
  <si>
    <t> 01.09.1970 22:33 </t>
  </si>
  <si>
    <t> -0.16 </t>
  </si>
  <si>
    <t>2441070.54 </t>
  </si>
  <si>
    <t> 29.04.1971 00:57 </t>
  </si>
  <si>
    <t> -0.31 </t>
  </si>
  <si>
    <t>2441166.49 </t>
  </si>
  <si>
    <t> 02.08.1971 23:45 </t>
  </si>
  <si>
    <t> -0.05 </t>
  </si>
  <si>
    <t>2441214.42 </t>
  </si>
  <si>
    <t> 19.09.1971 22:04 </t>
  </si>
  <si>
    <t> 0.03 </t>
  </si>
  <si>
    <t>2442601.48 </t>
  </si>
  <si>
    <t> 07.07.1975 23:31 </t>
  </si>
  <si>
    <t> -0.53 </t>
  </si>
  <si>
    <t>2442697.42 </t>
  </si>
  <si>
    <t> 11.10.1975 22:04 </t>
  </si>
  <si>
    <t> -0.28 </t>
  </si>
  <si>
    <t>2457243.3857 </t>
  </si>
  <si>
    <t> 08.08.2015 21:15 </t>
  </si>
  <si>
    <t> -0.3223 </t>
  </si>
  <si>
    <t>C </t>
  </si>
  <si>
    <t> H.Braunwarth </t>
  </si>
  <si>
    <t>BAVM 241 (=IBVS 6157) </t>
  </si>
  <si>
    <t>I</t>
  </si>
  <si>
    <t>II</t>
  </si>
  <si>
    <t>Malkov</t>
  </si>
  <si>
    <t>IBVS 6157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</si>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</sst>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vertical="center"/>
    </xf>
    <xf numFmtId="0" fontId="18" fillId="0" borderId="5" xfId="0" applyNumberFormat="1" applyFont="1" applyBorder="1" applyAlignment="1">
      <alignment horizontal="left"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20" fillId="25" borderId="17" xfId="38" applyFill="1" applyBorder="1" applyAlignment="1" applyProtection="1">
      <alignment horizontal="right" vertical="top" wrapText="1"/>
    </xf>
    <xf numFmtId="0" fontId="16" fillId="26" borderId="5" xfId="0" applyFont="1" applyFill="1" applyBorder="1" applyAlignment="1">
      <alignment horizontal="left" vertical="center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5" fillId="0" borderId="0" xfId="0" applyFont="1" applyAlignment="1"/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V788 Cyg - O-C Diagr.</a:t>
            </a:r>
          </a:p>
        </c:rich>
      </c:tx>
      <c:layout>
        <c:manualLayout>
          <c:xMode val="edge"/>
          <c:yMode val="edge"/>
          <c:x val="0.4025229357798165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6422018348624"/>
          <c:y val="0.14634168126798494"/>
          <c:w val="0.866972477064220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14.5</c:v>
                </c:pt>
                <c:pt idx="9">
                  <c:v>16</c:v>
                </c:pt>
                <c:pt idx="10">
                  <c:v>97</c:v>
                </c:pt>
                <c:pt idx="11">
                  <c:v>98</c:v>
                </c:pt>
                <c:pt idx="12">
                  <c:v>107</c:v>
                </c:pt>
                <c:pt idx="13">
                  <c:v>113</c:v>
                </c:pt>
                <c:pt idx="14">
                  <c:v>128</c:v>
                </c:pt>
                <c:pt idx="15">
                  <c:v>142</c:v>
                </c:pt>
                <c:pt idx="16">
                  <c:v>153</c:v>
                </c:pt>
                <c:pt idx="17">
                  <c:v>160</c:v>
                </c:pt>
                <c:pt idx="18">
                  <c:v>167</c:v>
                </c:pt>
                <c:pt idx="19">
                  <c:v>196.5</c:v>
                </c:pt>
                <c:pt idx="20">
                  <c:v>197.5</c:v>
                </c:pt>
                <c:pt idx="21">
                  <c:v>205.5</c:v>
                </c:pt>
                <c:pt idx="22">
                  <c:v>205.5</c:v>
                </c:pt>
                <c:pt idx="23">
                  <c:v>212</c:v>
                </c:pt>
                <c:pt idx="24">
                  <c:v>214</c:v>
                </c:pt>
                <c:pt idx="25">
                  <c:v>220.5</c:v>
                </c:pt>
                <c:pt idx="26">
                  <c:v>221</c:v>
                </c:pt>
                <c:pt idx="27">
                  <c:v>229</c:v>
                </c:pt>
                <c:pt idx="28">
                  <c:v>229</c:v>
                </c:pt>
                <c:pt idx="29">
                  <c:v>237</c:v>
                </c:pt>
                <c:pt idx="30">
                  <c:v>244.5</c:v>
                </c:pt>
                <c:pt idx="31">
                  <c:v>263</c:v>
                </c:pt>
                <c:pt idx="32">
                  <c:v>271.5</c:v>
                </c:pt>
                <c:pt idx="33">
                  <c:v>273</c:v>
                </c:pt>
                <c:pt idx="34">
                  <c:v>273</c:v>
                </c:pt>
                <c:pt idx="35">
                  <c:v>276</c:v>
                </c:pt>
                <c:pt idx="36">
                  <c:v>276</c:v>
                </c:pt>
                <c:pt idx="37">
                  <c:v>281</c:v>
                </c:pt>
                <c:pt idx="38">
                  <c:v>288.5</c:v>
                </c:pt>
                <c:pt idx="39">
                  <c:v>289.5</c:v>
                </c:pt>
                <c:pt idx="40">
                  <c:v>289.5</c:v>
                </c:pt>
                <c:pt idx="41">
                  <c:v>297</c:v>
                </c:pt>
                <c:pt idx="42">
                  <c:v>302</c:v>
                </c:pt>
                <c:pt idx="43">
                  <c:v>304</c:v>
                </c:pt>
                <c:pt idx="44">
                  <c:v>305</c:v>
                </c:pt>
                <c:pt idx="45">
                  <c:v>334</c:v>
                </c:pt>
                <c:pt idx="46">
                  <c:v>336</c:v>
                </c:pt>
                <c:pt idx="47">
                  <c:v>640</c:v>
                </c:pt>
                <c:pt idx="48">
                  <c:v>642</c:v>
                </c:pt>
                <c:pt idx="49">
                  <c:v>648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-0.27030000000377186</c:v>
                </c:pt>
                <c:pt idx="1">
                  <c:v>-0.18100000000049477</c:v>
                </c:pt>
                <c:pt idx="2">
                  <c:v>0</c:v>
                </c:pt>
                <c:pt idx="3">
                  <c:v>-0.38279999999940628</c:v>
                </c:pt>
                <c:pt idx="4">
                  <c:v>-0.34179999999832944</c:v>
                </c:pt>
                <c:pt idx="5">
                  <c:v>0.68349999999918509</c:v>
                </c:pt>
                <c:pt idx="6">
                  <c:v>-4.890000000159489E-2</c:v>
                </c:pt>
                <c:pt idx="7">
                  <c:v>-7.4599999999918509E-2</c:v>
                </c:pt>
                <c:pt idx="8">
                  <c:v>6.8849999999656575E-2</c:v>
                </c:pt>
                <c:pt idx="9">
                  <c:v>0.17480000000068685</c:v>
                </c:pt>
                <c:pt idx="10">
                  <c:v>0.37610000000131549</c:v>
                </c:pt>
                <c:pt idx="11">
                  <c:v>0.45739999999932479</c:v>
                </c:pt>
                <c:pt idx="12">
                  <c:v>-0.10090000000127475</c:v>
                </c:pt>
                <c:pt idx="13">
                  <c:v>-0.17309999999997672</c:v>
                </c:pt>
                <c:pt idx="14">
                  <c:v>0.1363999999994121</c:v>
                </c:pt>
                <c:pt idx="15">
                  <c:v>0.29460000000108266</c:v>
                </c:pt>
                <c:pt idx="16">
                  <c:v>-0.1911000000036438</c:v>
                </c:pt>
                <c:pt idx="17">
                  <c:v>6.7999999999301508E-2</c:v>
                </c:pt>
                <c:pt idx="18">
                  <c:v>0.12709999999788124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06-4B81-99BC-7063F0A7B0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14.5</c:v>
                </c:pt>
                <c:pt idx="9">
                  <c:v>16</c:v>
                </c:pt>
                <c:pt idx="10">
                  <c:v>97</c:v>
                </c:pt>
                <c:pt idx="11">
                  <c:v>98</c:v>
                </c:pt>
                <c:pt idx="12">
                  <c:v>107</c:v>
                </c:pt>
                <c:pt idx="13">
                  <c:v>113</c:v>
                </c:pt>
                <c:pt idx="14">
                  <c:v>128</c:v>
                </c:pt>
                <c:pt idx="15">
                  <c:v>142</c:v>
                </c:pt>
                <c:pt idx="16">
                  <c:v>153</c:v>
                </c:pt>
                <c:pt idx="17">
                  <c:v>160</c:v>
                </c:pt>
                <c:pt idx="18">
                  <c:v>167</c:v>
                </c:pt>
                <c:pt idx="19">
                  <c:v>196.5</c:v>
                </c:pt>
                <c:pt idx="20">
                  <c:v>197.5</c:v>
                </c:pt>
                <c:pt idx="21">
                  <c:v>205.5</c:v>
                </c:pt>
                <c:pt idx="22">
                  <c:v>205.5</c:v>
                </c:pt>
                <c:pt idx="23">
                  <c:v>212</c:v>
                </c:pt>
                <c:pt idx="24">
                  <c:v>214</c:v>
                </c:pt>
                <c:pt idx="25">
                  <c:v>220.5</c:v>
                </c:pt>
                <c:pt idx="26">
                  <c:v>221</c:v>
                </c:pt>
                <c:pt idx="27">
                  <c:v>229</c:v>
                </c:pt>
                <c:pt idx="28">
                  <c:v>229</c:v>
                </c:pt>
                <c:pt idx="29">
                  <c:v>237</c:v>
                </c:pt>
                <c:pt idx="30">
                  <c:v>244.5</c:v>
                </c:pt>
                <c:pt idx="31">
                  <c:v>263</c:v>
                </c:pt>
                <c:pt idx="32">
                  <c:v>271.5</c:v>
                </c:pt>
                <c:pt idx="33">
                  <c:v>273</c:v>
                </c:pt>
                <c:pt idx="34">
                  <c:v>273</c:v>
                </c:pt>
                <c:pt idx="35">
                  <c:v>276</c:v>
                </c:pt>
                <c:pt idx="36">
                  <c:v>276</c:v>
                </c:pt>
                <c:pt idx="37">
                  <c:v>281</c:v>
                </c:pt>
                <c:pt idx="38">
                  <c:v>288.5</c:v>
                </c:pt>
                <c:pt idx="39">
                  <c:v>289.5</c:v>
                </c:pt>
                <c:pt idx="40">
                  <c:v>289.5</c:v>
                </c:pt>
                <c:pt idx="41">
                  <c:v>297</c:v>
                </c:pt>
                <c:pt idx="42">
                  <c:v>302</c:v>
                </c:pt>
                <c:pt idx="43">
                  <c:v>304</c:v>
                </c:pt>
                <c:pt idx="44">
                  <c:v>305</c:v>
                </c:pt>
                <c:pt idx="45">
                  <c:v>334</c:v>
                </c:pt>
                <c:pt idx="46">
                  <c:v>336</c:v>
                </c:pt>
                <c:pt idx="47">
                  <c:v>640</c:v>
                </c:pt>
                <c:pt idx="48">
                  <c:v>642</c:v>
                </c:pt>
                <c:pt idx="49">
                  <c:v>648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9">
                  <c:v>-0.31955000000743894</c:v>
                </c:pt>
                <c:pt idx="20">
                  <c:v>-0.23825000000215368</c:v>
                </c:pt>
                <c:pt idx="21">
                  <c:v>-0.10785000000032596</c:v>
                </c:pt>
                <c:pt idx="22">
                  <c:v>0.97215000000142027</c:v>
                </c:pt>
                <c:pt idx="23">
                  <c:v>4.5600000004924368E-2</c:v>
                </c:pt>
                <c:pt idx="25">
                  <c:v>0.28164999999717111</c:v>
                </c:pt>
                <c:pt idx="26">
                  <c:v>-0.71270000000367872</c:v>
                </c:pt>
                <c:pt idx="27">
                  <c:v>3.3699999999953434E-2</c:v>
                </c:pt>
                <c:pt idx="28">
                  <c:v>0.52769999999873107</c:v>
                </c:pt>
                <c:pt idx="29">
                  <c:v>-0.34190000000671716</c:v>
                </c:pt>
                <c:pt idx="30">
                  <c:v>-0.17714999999589054</c:v>
                </c:pt>
                <c:pt idx="31">
                  <c:v>-0.11809999999968568</c:v>
                </c:pt>
                <c:pt idx="32">
                  <c:v>9.7949999995762482E-2</c:v>
                </c:pt>
                <c:pt idx="33">
                  <c:v>0.20489999999699648</c:v>
                </c:pt>
                <c:pt idx="34">
                  <c:v>0.23489999999583233</c:v>
                </c:pt>
                <c:pt idx="35">
                  <c:v>0.47880000000441214</c:v>
                </c:pt>
                <c:pt idx="36">
                  <c:v>0.53880000000208383</c:v>
                </c:pt>
                <c:pt idx="37">
                  <c:v>0.41530000000057044</c:v>
                </c:pt>
                <c:pt idx="38">
                  <c:v>0.59005000000615837</c:v>
                </c:pt>
                <c:pt idx="39">
                  <c:v>-0.36864999999670545</c:v>
                </c:pt>
                <c:pt idx="40">
                  <c:v>0.65135000000009313</c:v>
                </c:pt>
                <c:pt idx="41">
                  <c:v>-0.16389999999955762</c:v>
                </c:pt>
                <c:pt idx="42">
                  <c:v>-0.3073999999978696</c:v>
                </c:pt>
                <c:pt idx="43">
                  <c:v>-5.4800000005343463E-2</c:v>
                </c:pt>
                <c:pt idx="44">
                  <c:v>2.6499999992665835E-2</c:v>
                </c:pt>
                <c:pt idx="45">
                  <c:v>-0.52579999999579741</c:v>
                </c:pt>
                <c:pt idx="46">
                  <c:v>-0.28320000000530854</c:v>
                </c:pt>
                <c:pt idx="48">
                  <c:v>-5.4000000018277206E-3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06-4B81-99BC-7063F0A7B0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14.5</c:v>
                </c:pt>
                <c:pt idx="9">
                  <c:v>16</c:v>
                </c:pt>
                <c:pt idx="10">
                  <c:v>97</c:v>
                </c:pt>
                <c:pt idx="11">
                  <c:v>98</c:v>
                </c:pt>
                <c:pt idx="12">
                  <c:v>107</c:v>
                </c:pt>
                <c:pt idx="13">
                  <c:v>113</c:v>
                </c:pt>
                <c:pt idx="14">
                  <c:v>128</c:v>
                </c:pt>
                <c:pt idx="15">
                  <c:v>142</c:v>
                </c:pt>
                <c:pt idx="16">
                  <c:v>153</c:v>
                </c:pt>
                <c:pt idx="17">
                  <c:v>160</c:v>
                </c:pt>
                <c:pt idx="18">
                  <c:v>167</c:v>
                </c:pt>
                <c:pt idx="19">
                  <c:v>196.5</c:v>
                </c:pt>
                <c:pt idx="20">
                  <c:v>197.5</c:v>
                </c:pt>
                <c:pt idx="21">
                  <c:v>205.5</c:v>
                </c:pt>
                <c:pt idx="22">
                  <c:v>205.5</c:v>
                </c:pt>
                <c:pt idx="23">
                  <c:v>212</c:v>
                </c:pt>
                <c:pt idx="24">
                  <c:v>214</c:v>
                </c:pt>
                <c:pt idx="25">
                  <c:v>220.5</c:v>
                </c:pt>
                <c:pt idx="26">
                  <c:v>221</c:v>
                </c:pt>
                <c:pt idx="27">
                  <c:v>229</c:v>
                </c:pt>
                <c:pt idx="28">
                  <c:v>229</c:v>
                </c:pt>
                <c:pt idx="29">
                  <c:v>237</c:v>
                </c:pt>
                <c:pt idx="30">
                  <c:v>244.5</c:v>
                </c:pt>
                <c:pt idx="31">
                  <c:v>263</c:v>
                </c:pt>
                <c:pt idx="32">
                  <c:v>271.5</c:v>
                </c:pt>
                <c:pt idx="33">
                  <c:v>273</c:v>
                </c:pt>
                <c:pt idx="34">
                  <c:v>273</c:v>
                </c:pt>
                <c:pt idx="35">
                  <c:v>276</c:v>
                </c:pt>
                <c:pt idx="36">
                  <c:v>276</c:v>
                </c:pt>
                <c:pt idx="37">
                  <c:v>281</c:v>
                </c:pt>
                <c:pt idx="38">
                  <c:v>288.5</c:v>
                </c:pt>
                <c:pt idx="39">
                  <c:v>289.5</c:v>
                </c:pt>
                <c:pt idx="40">
                  <c:v>289.5</c:v>
                </c:pt>
                <c:pt idx="41">
                  <c:v>297</c:v>
                </c:pt>
                <c:pt idx="42">
                  <c:v>302</c:v>
                </c:pt>
                <c:pt idx="43">
                  <c:v>304</c:v>
                </c:pt>
                <c:pt idx="44">
                  <c:v>305</c:v>
                </c:pt>
                <c:pt idx="45">
                  <c:v>334</c:v>
                </c:pt>
                <c:pt idx="46">
                  <c:v>336</c:v>
                </c:pt>
                <c:pt idx="47">
                  <c:v>640</c:v>
                </c:pt>
                <c:pt idx="48">
                  <c:v>642</c:v>
                </c:pt>
                <c:pt idx="49">
                  <c:v>648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06-4B81-99BC-7063F0A7B0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14.5</c:v>
                </c:pt>
                <c:pt idx="9">
                  <c:v>16</c:v>
                </c:pt>
                <c:pt idx="10">
                  <c:v>97</c:v>
                </c:pt>
                <c:pt idx="11">
                  <c:v>98</c:v>
                </c:pt>
                <c:pt idx="12">
                  <c:v>107</c:v>
                </c:pt>
                <c:pt idx="13">
                  <c:v>113</c:v>
                </c:pt>
                <c:pt idx="14">
                  <c:v>128</c:v>
                </c:pt>
                <c:pt idx="15">
                  <c:v>142</c:v>
                </c:pt>
                <c:pt idx="16">
                  <c:v>153</c:v>
                </c:pt>
                <c:pt idx="17">
                  <c:v>160</c:v>
                </c:pt>
                <c:pt idx="18">
                  <c:v>167</c:v>
                </c:pt>
                <c:pt idx="19">
                  <c:v>196.5</c:v>
                </c:pt>
                <c:pt idx="20">
                  <c:v>197.5</c:v>
                </c:pt>
                <c:pt idx="21">
                  <c:v>205.5</c:v>
                </c:pt>
                <c:pt idx="22">
                  <c:v>205.5</c:v>
                </c:pt>
                <c:pt idx="23">
                  <c:v>212</c:v>
                </c:pt>
                <c:pt idx="24">
                  <c:v>214</c:v>
                </c:pt>
                <c:pt idx="25">
                  <c:v>220.5</c:v>
                </c:pt>
                <c:pt idx="26">
                  <c:v>221</c:v>
                </c:pt>
                <c:pt idx="27">
                  <c:v>229</c:v>
                </c:pt>
                <c:pt idx="28">
                  <c:v>229</c:v>
                </c:pt>
                <c:pt idx="29">
                  <c:v>237</c:v>
                </c:pt>
                <c:pt idx="30">
                  <c:v>244.5</c:v>
                </c:pt>
                <c:pt idx="31">
                  <c:v>263</c:v>
                </c:pt>
                <c:pt idx="32">
                  <c:v>271.5</c:v>
                </c:pt>
                <c:pt idx="33">
                  <c:v>273</c:v>
                </c:pt>
                <c:pt idx="34">
                  <c:v>273</c:v>
                </c:pt>
                <c:pt idx="35">
                  <c:v>276</c:v>
                </c:pt>
                <c:pt idx="36">
                  <c:v>276</c:v>
                </c:pt>
                <c:pt idx="37">
                  <c:v>281</c:v>
                </c:pt>
                <c:pt idx="38">
                  <c:v>288.5</c:v>
                </c:pt>
                <c:pt idx="39">
                  <c:v>289.5</c:v>
                </c:pt>
                <c:pt idx="40">
                  <c:v>289.5</c:v>
                </c:pt>
                <c:pt idx="41">
                  <c:v>297</c:v>
                </c:pt>
                <c:pt idx="42">
                  <c:v>302</c:v>
                </c:pt>
                <c:pt idx="43">
                  <c:v>304</c:v>
                </c:pt>
                <c:pt idx="44">
                  <c:v>305</c:v>
                </c:pt>
                <c:pt idx="45">
                  <c:v>334</c:v>
                </c:pt>
                <c:pt idx="46">
                  <c:v>336</c:v>
                </c:pt>
                <c:pt idx="47">
                  <c:v>640</c:v>
                </c:pt>
                <c:pt idx="48">
                  <c:v>642</c:v>
                </c:pt>
                <c:pt idx="49">
                  <c:v>648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7">
                  <c:v>-0.32229999999981374</c:v>
                </c:pt>
                <c:pt idx="49">
                  <c:v>0.26888999983202666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06-4B81-99BC-7063F0A7B0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14.5</c:v>
                </c:pt>
                <c:pt idx="9">
                  <c:v>16</c:v>
                </c:pt>
                <c:pt idx="10">
                  <c:v>97</c:v>
                </c:pt>
                <c:pt idx="11">
                  <c:v>98</c:v>
                </c:pt>
                <c:pt idx="12">
                  <c:v>107</c:v>
                </c:pt>
                <c:pt idx="13">
                  <c:v>113</c:v>
                </c:pt>
                <c:pt idx="14">
                  <c:v>128</c:v>
                </c:pt>
                <c:pt idx="15">
                  <c:v>142</c:v>
                </c:pt>
                <c:pt idx="16">
                  <c:v>153</c:v>
                </c:pt>
                <c:pt idx="17">
                  <c:v>160</c:v>
                </c:pt>
                <c:pt idx="18">
                  <c:v>167</c:v>
                </c:pt>
                <c:pt idx="19">
                  <c:v>196.5</c:v>
                </c:pt>
                <c:pt idx="20">
                  <c:v>197.5</c:v>
                </c:pt>
                <c:pt idx="21">
                  <c:v>205.5</c:v>
                </c:pt>
                <c:pt idx="22">
                  <c:v>205.5</c:v>
                </c:pt>
                <c:pt idx="23">
                  <c:v>212</c:v>
                </c:pt>
                <c:pt idx="24">
                  <c:v>214</c:v>
                </c:pt>
                <c:pt idx="25">
                  <c:v>220.5</c:v>
                </c:pt>
                <c:pt idx="26">
                  <c:v>221</c:v>
                </c:pt>
                <c:pt idx="27">
                  <c:v>229</c:v>
                </c:pt>
                <c:pt idx="28">
                  <c:v>229</c:v>
                </c:pt>
                <c:pt idx="29">
                  <c:v>237</c:v>
                </c:pt>
                <c:pt idx="30">
                  <c:v>244.5</c:v>
                </c:pt>
                <c:pt idx="31">
                  <c:v>263</c:v>
                </c:pt>
                <c:pt idx="32">
                  <c:v>271.5</c:v>
                </c:pt>
                <c:pt idx="33">
                  <c:v>273</c:v>
                </c:pt>
                <c:pt idx="34">
                  <c:v>273</c:v>
                </c:pt>
                <c:pt idx="35">
                  <c:v>276</c:v>
                </c:pt>
                <c:pt idx="36">
                  <c:v>276</c:v>
                </c:pt>
                <c:pt idx="37">
                  <c:v>281</c:v>
                </c:pt>
                <c:pt idx="38">
                  <c:v>288.5</c:v>
                </c:pt>
                <c:pt idx="39">
                  <c:v>289.5</c:v>
                </c:pt>
                <c:pt idx="40">
                  <c:v>289.5</c:v>
                </c:pt>
                <c:pt idx="41">
                  <c:v>297</c:v>
                </c:pt>
                <c:pt idx="42">
                  <c:v>302</c:v>
                </c:pt>
                <c:pt idx="43">
                  <c:v>304</c:v>
                </c:pt>
                <c:pt idx="44">
                  <c:v>305</c:v>
                </c:pt>
                <c:pt idx="45">
                  <c:v>334</c:v>
                </c:pt>
                <c:pt idx="46">
                  <c:v>336</c:v>
                </c:pt>
                <c:pt idx="47">
                  <c:v>640</c:v>
                </c:pt>
                <c:pt idx="48">
                  <c:v>642</c:v>
                </c:pt>
                <c:pt idx="49">
                  <c:v>648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06-4B81-99BC-7063F0A7B0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14.5</c:v>
                </c:pt>
                <c:pt idx="9">
                  <c:v>16</c:v>
                </c:pt>
                <c:pt idx="10">
                  <c:v>97</c:v>
                </c:pt>
                <c:pt idx="11">
                  <c:v>98</c:v>
                </c:pt>
                <c:pt idx="12">
                  <c:v>107</c:v>
                </c:pt>
                <c:pt idx="13">
                  <c:v>113</c:v>
                </c:pt>
                <c:pt idx="14">
                  <c:v>128</c:v>
                </c:pt>
                <c:pt idx="15">
                  <c:v>142</c:v>
                </c:pt>
                <c:pt idx="16">
                  <c:v>153</c:v>
                </c:pt>
                <c:pt idx="17">
                  <c:v>160</c:v>
                </c:pt>
                <c:pt idx="18">
                  <c:v>167</c:v>
                </c:pt>
                <c:pt idx="19">
                  <c:v>196.5</c:v>
                </c:pt>
                <c:pt idx="20">
                  <c:v>197.5</c:v>
                </c:pt>
                <c:pt idx="21">
                  <c:v>205.5</c:v>
                </c:pt>
                <c:pt idx="22">
                  <c:v>205.5</c:v>
                </c:pt>
                <c:pt idx="23">
                  <c:v>212</c:v>
                </c:pt>
                <c:pt idx="24">
                  <c:v>214</c:v>
                </c:pt>
                <c:pt idx="25">
                  <c:v>220.5</c:v>
                </c:pt>
                <c:pt idx="26">
                  <c:v>221</c:v>
                </c:pt>
                <c:pt idx="27">
                  <c:v>229</c:v>
                </c:pt>
                <c:pt idx="28">
                  <c:v>229</c:v>
                </c:pt>
                <c:pt idx="29">
                  <c:v>237</c:v>
                </c:pt>
                <c:pt idx="30">
                  <c:v>244.5</c:v>
                </c:pt>
                <c:pt idx="31">
                  <c:v>263</c:v>
                </c:pt>
                <c:pt idx="32">
                  <c:v>271.5</c:v>
                </c:pt>
                <c:pt idx="33">
                  <c:v>273</c:v>
                </c:pt>
                <c:pt idx="34">
                  <c:v>273</c:v>
                </c:pt>
                <c:pt idx="35">
                  <c:v>276</c:v>
                </c:pt>
                <c:pt idx="36">
                  <c:v>276</c:v>
                </c:pt>
                <c:pt idx="37">
                  <c:v>281</c:v>
                </c:pt>
                <c:pt idx="38">
                  <c:v>288.5</c:v>
                </c:pt>
                <c:pt idx="39">
                  <c:v>289.5</c:v>
                </c:pt>
                <c:pt idx="40">
                  <c:v>289.5</c:v>
                </c:pt>
                <c:pt idx="41">
                  <c:v>297</c:v>
                </c:pt>
                <c:pt idx="42">
                  <c:v>302</c:v>
                </c:pt>
                <c:pt idx="43">
                  <c:v>304</c:v>
                </c:pt>
                <c:pt idx="44">
                  <c:v>305</c:v>
                </c:pt>
                <c:pt idx="45">
                  <c:v>334</c:v>
                </c:pt>
                <c:pt idx="46">
                  <c:v>336</c:v>
                </c:pt>
                <c:pt idx="47">
                  <c:v>640</c:v>
                </c:pt>
                <c:pt idx="48">
                  <c:v>642</c:v>
                </c:pt>
                <c:pt idx="49">
                  <c:v>648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06-4B81-99BC-7063F0A7B0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1E-3</c:v>
                  </c:pt>
                  <c:pt idx="48">
                    <c:v>0.1</c:v>
                  </c:pt>
                  <c:pt idx="4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14.5</c:v>
                </c:pt>
                <c:pt idx="9">
                  <c:v>16</c:v>
                </c:pt>
                <c:pt idx="10">
                  <c:v>97</c:v>
                </c:pt>
                <c:pt idx="11">
                  <c:v>98</c:v>
                </c:pt>
                <c:pt idx="12">
                  <c:v>107</c:v>
                </c:pt>
                <c:pt idx="13">
                  <c:v>113</c:v>
                </c:pt>
                <c:pt idx="14">
                  <c:v>128</c:v>
                </c:pt>
                <c:pt idx="15">
                  <c:v>142</c:v>
                </c:pt>
                <c:pt idx="16">
                  <c:v>153</c:v>
                </c:pt>
                <c:pt idx="17">
                  <c:v>160</c:v>
                </c:pt>
                <c:pt idx="18">
                  <c:v>167</c:v>
                </c:pt>
                <c:pt idx="19">
                  <c:v>196.5</c:v>
                </c:pt>
                <c:pt idx="20">
                  <c:v>197.5</c:v>
                </c:pt>
                <c:pt idx="21">
                  <c:v>205.5</c:v>
                </c:pt>
                <c:pt idx="22">
                  <c:v>205.5</c:v>
                </c:pt>
                <c:pt idx="23">
                  <c:v>212</c:v>
                </c:pt>
                <c:pt idx="24">
                  <c:v>214</c:v>
                </c:pt>
                <c:pt idx="25">
                  <c:v>220.5</c:v>
                </c:pt>
                <c:pt idx="26">
                  <c:v>221</c:v>
                </c:pt>
                <c:pt idx="27">
                  <c:v>229</c:v>
                </c:pt>
                <c:pt idx="28">
                  <c:v>229</c:v>
                </c:pt>
                <c:pt idx="29">
                  <c:v>237</c:v>
                </c:pt>
                <c:pt idx="30">
                  <c:v>244.5</c:v>
                </c:pt>
                <c:pt idx="31">
                  <c:v>263</c:v>
                </c:pt>
                <c:pt idx="32">
                  <c:v>271.5</c:v>
                </c:pt>
                <c:pt idx="33">
                  <c:v>273</c:v>
                </c:pt>
                <c:pt idx="34">
                  <c:v>273</c:v>
                </c:pt>
                <c:pt idx="35">
                  <c:v>276</c:v>
                </c:pt>
                <c:pt idx="36">
                  <c:v>276</c:v>
                </c:pt>
                <c:pt idx="37">
                  <c:v>281</c:v>
                </c:pt>
                <c:pt idx="38">
                  <c:v>288.5</c:v>
                </c:pt>
                <c:pt idx="39">
                  <c:v>289.5</c:v>
                </c:pt>
                <c:pt idx="40">
                  <c:v>289.5</c:v>
                </c:pt>
                <c:pt idx="41">
                  <c:v>297</c:v>
                </c:pt>
                <c:pt idx="42">
                  <c:v>302</c:v>
                </c:pt>
                <c:pt idx="43">
                  <c:v>304</c:v>
                </c:pt>
                <c:pt idx="44">
                  <c:v>305</c:v>
                </c:pt>
                <c:pt idx="45">
                  <c:v>334</c:v>
                </c:pt>
                <c:pt idx="46">
                  <c:v>336</c:v>
                </c:pt>
                <c:pt idx="47">
                  <c:v>640</c:v>
                </c:pt>
                <c:pt idx="48">
                  <c:v>642</c:v>
                </c:pt>
                <c:pt idx="49">
                  <c:v>648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06-4B81-99BC-7063F0A7B0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14.5</c:v>
                </c:pt>
                <c:pt idx="9">
                  <c:v>16</c:v>
                </c:pt>
                <c:pt idx="10">
                  <c:v>97</c:v>
                </c:pt>
                <c:pt idx="11">
                  <c:v>98</c:v>
                </c:pt>
                <c:pt idx="12">
                  <c:v>107</c:v>
                </c:pt>
                <c:pt idx="13">
                  <c:v>113</c:v>
                </c:pt>
                <c:pt idx="14">
                  <c:v>128</c:v>
                </c:pt>
                <c:pt idx="15">
                  <c:v>142</c:v>
                </c:pt>
                <c:pt idx="16">
                  <c:v>153</c:v>
                </c:pt>
                <c:pt idx="17">
                  <c:v>160</c:v>
                </c:pt>
                <c:pt idx="18">
                  <c:v>167</c:v>
                </c:pt>
                <c:pt idx="19">
                  <c:v>196.5</c:v>
                </c:pt>
                <c:pt idx="20">
                  <c:v>197.5</c:v>
                </c:pt>
                <c:pt idx="21">
                  <c:v>205.5</c:v>
                </c:pt>
                <c:pt idx="22">
                  <c:v>205.5</c:v>
                </c:pt>
                <c:pt idx="23">
                  <c:v>212</c:v>
                </c:pt>
                <c:pt idx="24">
                  <c:v>214</c:v>
                </c:pt>
                <c:pt idx="25">
                  <c:v>220.5</c:v>
                </c:pt>
                <c:pt idx="26">
                  <c:v>221</c:v>
                </c:pt>
                <c:pt idx="27">
                  <c:v>229</c:v>
                </c:pt>
                <c:pt idx="28">
                  <c:v>229</c:v>
                </c:pt>
                <c:pt idx="29">
                  <c:v>237</c:v>
                </c:pt>
                <c:pt idx="30">
                  <c:v>244.5</c:v>
                </c:pt>
                <c:pt idx="31">
                  <c:v>263</c:v>
                </c:pt>
                <c:pt idx="32">
                  <c:v>271.5</c:v>
                </c:pt>
                <c:pt idx="33">
                  <c:v>273</c:v>
                </c:pt>
                <c:pt idx="34">
                  <c:v>273</c:v>
                </c:pt>
                <c:pt idx="35">
                  <c:v>276</c:v>
                </c:pt>
                <c:pt idx="36">
                  <c:v>276</c:v>
                </c:pt>
                <c:pt idx="37">
                  <c:v>281</c:v>
                </c:pt>
                <c:pt idx="38">
                  <c:v>288.5</c:v>
                </c:pt>
                <c:pt idx="39">
                  <c:v>289.5</c:v>
                </c:pt>
                <c:pt idx="40">
                  <c:v>289.5</c:v>
                </c:pt>
                <c:pt idx="41">
                  <c:v>297</c:v>
                </c:pt>
                <c:pt idx="42">
                  <c:v>302</c:v>
                </c:pt>
                <c:pt idx="43">
                  <c:v>304</c:v>
                </c:pt>
                <c:pt idx="44">
                  <c:v>305</c:v>
                </c:pt>
                <c:pt idx="45">
                  <c:v>334</c:v>
                </c:pt>
                <c:pt idx="46">
                  <c:v>336</c:v>
                </c:pt>
                <c:pt idx="47">
                  <c:v>640</c:v>
                </c:pt>
                <c:pt idx="48">
                  <c:v>642</c:v>
                </c:pt>
                <c:pt idx="49">
                  <c:v>648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3.8415599744899401E-2</c:v>
                </c:pt>
                <c:pt idx="1">
                  <c:v>3.8421563152054451E-2</c:v>
                </c:pt>
                <c:pt idx="2">
                  <c:v>3.8421563152054451E-2</c:v>
                </c:pt>
                <c:pt idx="3">
                  <c:v>3.8445416780674639E-2</c:v>
                </c:pt>
                <c:pt idx="4">
                  <c:v>3.8445416780674639E-2</c:v>
                </c:pt>
                <c:pt idx="5">
                  <c:v>3.845138018782969E-2</c:v>
                </c:pt>
                <c:pt idx="6">
                  <c:v>3.8463307002139784E-2</c:v>
                </c:pt>
                <c:pt idx="7">
                  <c:v>3.8469270409294827E-2</c:v>
                </c:pt>
                <c:pt idx="8">
                  <c:v>3.8508032555802638E-2</c:v>
                </c:pt>
                <c:pt idx="9">
                  <c:v>3.851697766653521E-2</c:v>
                </c:pt>
                <c:pt idx="10">
                  <c:v>3.9000013646094032E-2</c:v>
                </c:pt>
                <c:pt idx="11">
                  <c:v>3.9005977053249083E-2</c:v>
                </c:pt>
                <c:pt idx="12">
                  <c:v>3.9059647717644509E-2</c:v>
                </c:pt>
                <c:pt idx="13">
                  <c:v>3.9095428160574791E-2</c:v>
                </c:pt>
                <c:pt idx="14">
                  <c:v>3.9184879267900499E-2</c:v>
                </c:pt>
                <c:pt idx="15">
                  <c:v>3.9268366968071157E-2</c:v>
                </c:pt>
                <c:pt idx="16">
                  <c:v>3.9333964446776677E-2</c:v>
                </c:pt>
                <c:pt idx="17">
                  <c:v>3.937570829686201E-2</c:v>
                </c:pt>
                <c:pt idx="18">
                  <c:v>3.9417452146947342E-2</c:v>
                </c:pt>
                <c:pt idx="19">
                  <c:v>3.9593372658021236E-2</c:v>
                </c:pt>
                <c:pt idx="20">
                  <c:v>3.959933606517628E-2</c:v>
                </c:pt>
                <c:pt idx="21">
                  <c:v>3.9647043322416663E-2</c:v>
                </c:pt>
                <c:pt idx="22">
                  <c:v>3.9647043322416663E-2</c:v>
                </c:pt>
                <c:pt idx="23">
                  <c:v>3.9685805468924466E-2</c:v>
                </c:pt>
                <c:pt idx="24">
                  <c:v>3.969773228323456E-2</c:v>
                </c:pt>
                <c:pt idx="25">
                  <c:v>3.9736494429742371E-2</c:v>
                </c:pt>
                <c:pt idx="26">
                  <c:v>3.9739476133319893E-2</c:v>
                </c:pt>
                <c:pt idx="27">
                  <c:v>3.9787183390560268E-2</c:v>
                </c:pt>
                <c:pt idx="28">
                  <c:v>3.9787183390560268E-2</c:v>
                </c:pt>
                <c:pt idx="29">
                  <c:v>3.9834890647800644E-2</c:v>
                </c:pt>
                <c:pt idx="30">
                  <c:v>3.9879616201463505E-2</c:v>
                </c:pt>
                <c:pt idx="31">
                  <c:v>3.9989939233831873E-2</c:v>
                </c:pt>
                <c:pt idx="32">
                  <c:v>4.0040628194649777E-2</c:v>
                </c:pt>
                <c:pt idx="33">
                  <c:v>4.0049573305382349E-2</c:v>
                </c:pt>
                <c:pt idx="34">
                  <c:v>4.0049573305382349E-2</c:v>
                </c:pt>
                <c:pt idx="35">
                  <c:v>4.0067463526847487E-2</c:v>
                </c:pt>
                <c:pt idx="36">
                  <c:v>4.0067463526847487E-2</c:v>
                </c:pt>
                <c:pt idx="37">
                  <c:v>4.0097280562622725E-2</c:v>
                </c:pt>
                <c:pt idx="38">
                  <c:v>4.0142006116285579E-2</c:v>
                </c:pt>
                <c:pt idx="39">
                  <c:v>4.014796952344063E-2</c:v>
                </c:pt>
                <c:pt idx="40">
                  <c:v>4.014796952344063E-2</c:v>
                </c:pt>
                <c:pt idx="41">
                  <c:v>4.0192695077103484E-2</c:v>
                </c:pt>
                <c:pt idx="42">
                  <c:v>4.0222512112878715E-2</c:v>
                </c:pt>
                <c:pt idx="43">
                  <c:v>4.0234438927188816E-2</c:v>
                </c:pt>
                <c:pt idx="44">
                  <c:v>4.024040233434386E-2</c:v>
                </c:pt>
                <c:pt idx="45">
                  <c:v>4.0413341141840232E-2</c:v>
                </c:pt>
                <c:pt idx="46">
                  <c:v>4.0425267956150326E-2</c:v>
                </c:pt>
                <c:pt idx="47">
                  <c:v>4.2238143731284684E-2</c:v>
                </c:pt>
                <c:pt idx="48">
                  <c:v>4.2250070545594778E-2</c:v>
                </c:pt>
                <c:pt idx="49">
                  <c:v>4.2285850988525067E-2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06-4B81-99BC-7063F0A7B0F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14.5</c:v>
                </c:pt>
                <c:pt idx="9">
                  <c:v>16</c:v>
                </c:pt>
                <c:pt idx="10">
                  <c:v>97</c:v>
                </c:pt>
                <c:pt idx="11">
                  <c:v>98</c:v>
                </c:pt>
                <c:pt idx="12">
                  <c:v>107</c:v>
                </c:pt>
                <c:pt idx="13">
                  <c:v>113</c:v>
                </c:pt>
                <c:pt idx="14">
                  <c:v>128</c:v>
                </c:pt>
                <c:pt idx="15">
                  <c:v>142</c:v>
                </c:pt>
                <c:pt idx="16">
                  <c:v>153</c:v>
                </c:pt>
                <c:pt idx="17">
                  <c:v>160</c:v>
                </c:pt>
                <c:pt idx="18">
                  <c:v>167</c:v>
                </c:pt>
                <c:pt idx="19">
                  <c:v>196.5</c:v>
                </c:pt>
                <c:pt idx="20">
                  <c:v>197.5</c:v>
                </c:pt>
                <c:pt idx="21">
                  <c:v>205.5</c:v>
                </c:pt>
                <c:pt idx="22">
                  <c:v>205.5</c:v>
                </c:pt>
                <c:pt idx="23">
                  <c:v>212</c:v>
                </c:pt>
                <c:pt idx="24">
                  <c:v>214</c:v>
                </c:pt>
                <c:pt idx="25">
                  <c:v>220.5</c:v>
                </c:pt>
                <c:pt idx="26">
                  <c:v>221</c:v>
                </c:pt>
                <c:pt idx="27">
                  <c:v>229</c:v>
                </c:pt>
                <c:pt idx="28">
                  <c:v>229</c:v>
                </c:pt>
                <c:pt idx="29">
                  <c:v>237</c:v>
                </c:pt>
                <c:pt idx="30">
                  <c:v>244.5</c:v>
                </c:pt>
                <c:pt idx="31">
                  <c:v>263</c:v>
                </c:pt>
                <c:pt idx="32">
                  <c:v>271.5</c:v>
                </c:pt>
                <c:pt idx="33">
                  <c:v>273</c:v>
                </c:pt>
                <c:pt idx="34">
                  <c:v>273</c:v>
                </c:pt>
                <c:pt idx="35">
                  <c:v>276</c:v>
                </c:pt>
                <c:pt idx="36">
                  <c:v>276</c:v>
                </c:pt>
                <c:pt idx="37">
                  <c:v>281</c:v>
                </c:pt>
                <c:pt idx="38">
                  <c:v>288.5</c:v>
                </c:pt>
                <c:pt idx="39">
                  <c:v>289.5</c:v>
                </c:pt>
                <c:pt idx="40">
                  <c:v>289.5</c:v>
                </c:pt>
                <c:pt idx="41">
                  <c:v>297</c:v>
                </c:pt>
                <c:pt idx="42">
                  <c:v>302</c:v>
                </c:pt>
                <c:pt idx="43">
                  <c:v>304</c:v>
                </c:pt>
                <c:pt idx="44">
                  <c:v>305</c:v>
                </c:pt>
                <c:pt idx="45">
                  <c:v>334</c:v>
                </c:pt>
                <c:pt idx="46">
                  <c:v>336</c:v>
                </c:pt>
                <c:pt idx="47">
                  <c:v>640</c:v>
                </c:pt>
                <c:pt idx="48">
                  <c:v>642</c:v>
                </c:pt>
                <c:pt idx="49">
                  <c:v>648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4">
                  <c:v>3.2381999999997788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06-4B81-99BC-7063F0A7B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513488"/>
        <c:axId val="1"/>
      </c:scatterChart>
      <c:valAx>
        <c:axId val="95851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2568807339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8513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128440366972475"/>
          <c:y val="0.92073298764483702"/>
          <c:w val="0.54472477064220182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20</xdr:col>
      <xdr:colOff>142875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5508D25-1940-CD65-9D0D-1182396A9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5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52</v>
      </c>
      <c r="F1" s="51" t="s">
        <v>50</v>
      </c>
      <c r="G1" s="32">
        <v>20.273410000000002</v>
      </c>
      <c r="H1" s="33">
        <v>31.512499999999999</v>
      </c>
      <c r="I1" s="34">
        <v>26620.54</v>
      </c>
      <c r="J1" s="34">
        <v>47.848700000000001</v>
      </c>
      <c r="K1" s="31" t="s">
        <v>51</v>
      </c>
      <c r="L1" s="33"/>
      <c r="M1" s="34">
        <v>26620.54</v>
      </c>
      <c r="N1" s="34">
        <v>47.848700000000001</v>
      </c>
      <c r="O1" s="37" t="s">
        <v>51</v>
      </c>
    </row>
    <row r="2" spans="1:15" x14ac:dyDescent="0.2">
      <c r="A2" t="s">
        <v>24</v>
      </c>
      <c r="B2" s="3" t="s">
        <v>51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1</v>
      </c>
      <c r="C4" s="27">
        <v>26620.54</v>
      </c>
      <c r="D4" s="28">
        <v>47.848700000000001</v>
      </c>
    </row>
    <row r="5" spans="1:15" ht="13.5" thickTop="1" x14ac:dyDescent="0.2">
      <c r="A5" s="9" t="s">
        <v>29</v>
      </c>
      <c r="B5" s="54"/>
      <c r="C5" s="11">
        <v>-9.5</v>
      </c>
      <c r="D5" s="10" t="s">
        <v>30</v>
      </c>
      <c r="E5" s="10"/>
    </row>
    <row r="6" spans="1:15" x14ac:dyDescent="0.2">
      <c r="A6" s="5" t="s">
        <v>2</v>
      </c>
    </row>
    <row r="7" spans="1:15" x14ac:dyDescent="0.2">
      <c r="A7" t="s">
        <v>3</v>
      </c>
      <c r="C7" s="65">
        <v>26620.54</v>
      </c>
      <c r="D7" s="29" t="s">
        <v>211</v>
      </c>
    </row>
    <row r="8" spans="1:15" x14ac:dyDescent="0.2">
      <c r="A8" t="s">
        <v>4</v>
      </c>
      <c r="C8" s="65">
        <v>47.848700000000001</v>
      </c>
      <c r="D8" s="29" t="s">
        <v>211</v>
      </c>
    </row>
    <row r="9" spans="1:15" x14ac:dyDescent="0.2">
      <c r="A9" s="24" t="s">
        <v>33</v>
      </c>
      <c r="B9" s="25">
        <v>21</v>
      </c>
      <c r="C9" s="22" t="str">
        <f>"F"&amp;B9</f>
        <v>F21</v>
      </c>
      <c r="D9" s="23" t="str">
        <f>"G"&amp;B9</f>
        <v>G21</v>
      </c>
      <c r="E9" s="23"/>
    </row>
    <row r="10" spans="1:15" ht="13.5" thickBot="1" x14ac:dyDescent="0.25">
      <c r="A10" s="10"/>
      <c r="B10" s="54"/>
      <c r="C10" s="4" t="s">
        <v>20</v>
      </c>
      <c r="D10" s="4" t="s">
        <v>21</v>
      </c>
      <c r="E10" s="10"/>
    </row>
    <row r="11" spans="1:15" x14ac:dyDescent="0.2">
      <c r="A11" s="10" t="s">
        <v>16</v>
      </c>
      <c r="B11" s="54"/>
      <c r="C11" s="21">
        <f ca="1">INTERCEPT(INDIRECT($D$9):G978,INDIRECT($C$9):F978)</f>
        <v>3.8421563152054451E-2</v>
      </c>
      <c r="D11" s="3"/>
      <c r="E11" s="10"/>
    </row>
    <row r="12" spans="1:15" x14ac:dyDescent="0.2">
      <c r="A12" s="10" t="s">
        <v>17</v>
      </c>
      <c r="B12" s="54"/>
      <c r="C12" s="21">
        <f ca="1">SLOPE(INDIRECT($D$9):G978,INDIRECT($C$9):F978)</f>
        <v>5.9634071550472426E-6</v>
      </c>
      <c r="D12" s="3"/>
      <c r="E12" s="10"/>
    </row>
    <row r="13" spans="1:15" x14ac:dyDescent="0.2">
      <c r="A13" s="10" t="s">
        <v>19</v>
      </c>
      <c r="B13" s="54"/>
      <c r="C13" s="3" t="s">
        <v>14</v>
      </c>
    </row>
    <row r="14" spans="1:15" x14ac:dyDescent="0.2">
      <c r="A14" s="10"/>
      <c r="B14" s="54"/>
      <c r="C14" s="10"/>
    </row>
    <row r="15" spans="1:15" x14ac:dyDescent="0.2">
      <c r="A15" s="12" t="s">
        <v>18</v>
      </c>
      <c r="B15" s="54"/>
      <c r="C15" s="13">
        <f ca="1">(C7+C11)+(C8+C12)*INT(MAX(F21:F3533))</f>
        <v>57626.539885850987</v>
      </c>
      <c r="E15" s="14" t="s">
        <v>35</v>
      </c>
      <c r="F15" s="35">
        <v>1</v>
      </c>
    </row>
    <row r="16" spans="1:15" x14ac:dyDescent="0.2">
      <c r="A16" s="16" t="s">
        <v>5</v>
      </c>
      <c r="B16" s="54"/>
      <c r="C16" s="17">
        <f ca="1">+C8+C12</f>
        <v>47.848705963407156</v>
      </c>
      <c r="E16" s="14" t="s">
        <v>31</v>
      </c>
      <c r="F16" s="36">
        <f ca="1">NOW()+15018.5+$C$5/24</f>
        <v>60340.7579625</v>
      </c>
    </row>
    <row r="17" spans="1:21" ht="13.5" thickBot="1" x14ac:dyDescent="0.25">
      <c r="A17" s="14" t="s">
        <v>28</v>
      </c>
      <c r="B17" s="54"/>
      <c r="C17" s="10">
        <f>COUNT(C21:C2191)</f>
        <v>50</v>
      </c>
      <c r="E17" s="14" t="s">
        <v>36</v>
      </c>
      <c r="F17" s="15">
        <f ca="1">ROUND(2*(F16-$C$7)/$C$8,0)/2+F15</f>
        <v>705.5</v>
      </c>
    </row>
    <row r="18" spans="1:21" ht="14.25" thickTop="1" thickBot="1" x14ac:dyDescent="0.25">
      <c r="A18" s="16" t="s">
        <v>6</v>
      </c>
      <c r="B18" s="54"/>
      <c r="C18" s="19">
        <f ca="1">+C15</f>
        <v>57626.539885850987</v>
      </c>
      <c r="D18" s="20">
        <f ca="1">+C16</f>
        <v>47.848705963407156</v>
      </c>
      <c r="E18" s="14" t="s">
        <v>37</v>
      </c>
      <c r="F18" s="23">
        <f ca="1">ROUND(2*(F16-$C$15)/$C$16,0)/2+F15</f>
        <v>57.5</v>
      </c>
    </row>
    <row r="19" spans="1:21" ht="13.5" thickTop="1" x14ac:dyDescent="0.2">
      <c r="E19" s="14" t="s">
        <v>32</v>
      </c>
      <c r="F19" s="18">
        <f ca="1">+$C$15+$C$16*F18-15018.5-$C$5/24</f>
        <v>45359.736312080233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4"/>
      <c r="S20" s="4"/>
      <c r="T20" s="4"/>
      <c r="U20" s="26" t="s">
        <v>34</v>
      </c>
    </row>
    <row r="21" spans="1:21" x14ac:dyDescent="0.2">
      <c r="A21" s="52" t="s">
        <v>58</v>
      </c>
      <c r="B21" s="55" t="s">
        <v>209</v>
      </c>
      <c r="C21" s="53">
        <v>26572.420999999998</v>
      </c>
      <c r="D21" s="53" t="s">
        <v>39</v>
      </c>
      <c r="E21">
        <f t="shared" ref="E21:E62" si="0">+(C21-C$7)/C$8</f>
        <v>-1.0056490562962508</v>
      </c>
      <c r="F21">
        <f t="shared" ref="F21:F62" si="1">ROUND(2*E21,0)/2</f>
        <v>-1</v>
      </c>
      <c r="G21">
        <f t="shared" ref="G21:G44" si="2">+C21-(C$7+F21*C$8)</f>
        <v>-0.27030000000377186</v>
      </c>
      <c r="H21">
        <f t="shared" ref="H21:H39" si="3">+G21</f>
        <v>-0.27030000000377186</v>
      </c>
      <c r="O21">
        <f t="shared" ref="O21:O62" ca="1" si="4">+C$11+C$12*$F21</f>
        <v>3.8415599744899401E-2</v>
      </c>
      <c r="Q21" s="2">
        <f t="shared" ref="Q21:Q62" si="5">+C21-15018.5</f>
        <v>11553.920999999998</v>
      </c>
      <c r="R21" s="2"/>
      <c r="S21" s="2"/>
      <c r="T21" s="2"/>
    </row>
    <row r="22" spans="1:21" x14ac:dyDescent="0.2">
      <c r="A22" s="52" t="s">
        <v>63</v>
      </c>
      <c r="B22" s="55" t="s">
        <v>209</v>
      </c>
      <c r="C22" s="53">
        <v>26620.359</v>
      </c>
      <c r="D22" s="53" t="s">
        <v>39</v>
      </c>
      <c r="E22">
        <f t="shared" si="0"/>
        <v>-3.782756898316877E-3</v>
      </c>
      <c r="F22">
        <f t="shared" si="1"/>
        <v>0</v>
      </c>
      <c r="G22">
        <f t="shared" si="2"/>
        <v>-0.18100000000049477</v>
      </c>
      <c r="H22">
        <f t="shared" si="3"/>
        <v>-0.18100000000049477</v>
      </c>
      <c r="O22">
        <f t="shared" ca="1" si="4"/>
        <v>3.8421563152054451E-2</v>
      </c>
      <c r="Q22" s="2">
        <f t="shared" si="5"/>
        <v>11601.859</v>
      </c>
      <c r="R22" s="2"/>
      <c r="S22" s="2"/>
      <c r="T22" s="2"/>
    </row>
    <row r="23" spans="1:21" x14ac:dyDescent="0.2">
      <c r="A23" t="str">
        <f>D9</f>
        <v>G21</v>
      </c>
      <c r="C23" s="8">
        <f>C$7</f>
        <v>26620.54</v>
      </c>
      <c r="D23" s="8" t="s">
        <v>14</v>
      </c>
      <c r="E23">
        <f t="shared" si="0"/>
        <v>0</v>
      </c>
      <c r="F23">
        <f t="shared" si="1"/>
        <v>0</v>
      </c>
      <c r="G23">
        <f t="shared" si="2"/>
        <v>0</v>
      </c>
      <c r="H23">
        <f t="shared" si="3"/>
        <v>0</v>
      </c>
      <c r="O23">
        <f t="shared" ca="1" si="4"/>
        <v>3.8421563152054451E-2</v>
      </c>
      <c r="Q23" s="2">
        <f t="shared" si="5"/>
        <v>11602.04</v>
      </c>
      <c r="R23" s="2"/>
      <c r="S23" s="2"/>
      <c r="T23" s="2"/>
    </row>
    <row r="24" spans="1:21" x14ac:dyDescent="0.2">
      <c r="A24" s="52" t="s">
        <v>63</v>
      </c>
      <c r="B24" s="55" t="s">
        <v>209</v>
      </c>
      <c r="C24" s="53">
        <v>26811.552</v>
      </c>
      <c r="D24" s="53" t="s">
        <v>39</v>
      </c>
      <c r="E24">
        <f t="shared" si="0"/>
        <v>3.9919997826481972</v>
      </c>
      <c r="F24">
        <f t="shared" si="1"/>
        <v>4</v>
      </c>
      <c r="G24">
        <f t="shared" si="2"/>
        <v>-0.38279999999940628</v>
      </c>
      <c r="H24">
        <f t="shared" si="3"/>
        <v>-0.38279999999940628</v>
      </c>
      <c r="O24">
        <f t="shared" ca="1" si="4"/>
        <v>3.8445416780674639E-2</v>
      </c>
      <c r="Q24" s="2">
        <f t="shared" si="5"/>
        <v>11793.052</v>
      </c>
      <c r="R24" s="2"/>
      <c r="S24" s="2"/>
      <c r="T24" s="2"/>
    </row>
    <row r="25" spans="1:21" x14ac:dyDescent="0.2">
      <c r="A25" s="52" t="s">
        <v>58</v>
      </c>
      <c r="B25" s="55" t="s">
        <v>209</v>
      </c>
      <c r="C25" s="53">
        <v>26811.593000000001</v>
      </c>
      <c r="D25" s="53" t="s">
        <v>39</v>
      </c>
      <c r="E25">
        <f t="shared" si="0"/>
        <v>3.9928566502329192</v>
      </c>
      <c r="F25">
        <f t="shared" si="1"/>
        <v>4</v>
      </c>
      <c r="G25">
        <f t="shared" si="2"/>
        <v>-0.34179999999832944</v>
      </c>
      <c r="H25">
        <f t="shared" si="3"/>
        <v>-0.34179999999832944</v>
      </c>
      <c r="O25">
        <f t="shared" ca="1" si="4"/>
        <v>3.8445416780674639E-2</v>
      </c>
      <c r="Q25" s="2">
        <f t="shared" si="5"/>
        <v>11793.093000000001</v>
      </c>
      <c r="R25" s="2"/>
      <c r="S25" s="2"/>
      <c r="T25" s="2"/>
    </row>
    <row r="26" spans="1:21" x14ac:dyDescent="0.2">
      <c r="A26" s="52" t="s">
        <v>63</v>
      </c>
      <c r="B26" s="55" t="s">
        <v>209</v>
      </c>
      <c r="C26" s="53">
        <v>26860.467000000001</v>
      </c>
      <c r="D26" s="53" t="s">
        <v>39</v>
      </c>
      <c r="E26">
        <f t="shared" si="0"/>
        <v>5.0142846096132114</v>
      </c>
      <c r="F26">
        <f t="shared" si="1"/>
        <v>5</v>
      </c>
      <c r="G26">
        <f t="shared" si="2"/>
        <v>0.68349999999918509</v>
      </c>
      <c r="H26">
        <f t="shared" si="3"/>
        <v>0.68349999999918509</v>
      </c>
      <c r="O26">
        <f t="shared" ca="1" si="4"/>
        <v>3.845138018782969E-2</v>
      </c>
      <c r="Q26" s="2">
        <f t="shared" si="5"/>
        <v>11841.967000000001</v>
      </c>
      <c r="R26" s="2"/>
      <c r="S26" s="2"/>
      <c r="T26" s="2"/>
    </row>
    <row r="27" spans="1:21" x14ac:dyDescent="0.2">
      <c r="A27" s="52" t="s">
        <v>63</v>
      </c>
      <c r="B27" s="55" t="s">
        <v>209</v>
      </c>
      <c r="C27" s="53">
        <v>26955.432000000001</v>
      </c>
      <c r="D27" s="53" t="s">
        <v>39</v>
      </c>
      <c r="E27">
        <f t="shared" si="0"/>
        <v>6.9989780286611722</v>
      </c>
      <c r="F27">
        <f t="shared" si="1"/>
        <v>7</v>
      </c>
      <c r="G27">
        <f t="shared" si="2"/>
        <v>-4.890000000159489E-2</v>
      </c>
      <c r="H27">
        <f t="shared" si="3"/>
        <v>-4.890000000159489E-2</v>
      </c>
      <c r="O27">
        <f t="shared" ca="1" si="4"/>
        <v>3.8463307002139784E-2</v>
      </c>
      <c r="Q27" s="2">
        <f t="shared" si="5"/>
        <v>11936.932000000001</v>
      </c>
      <c r="R27" s="2"/>
      <c r="S27" s="2"/>
      <c r="T27" s="2"/>
    </row>
    <row r="28" spans="1:21" x14ac:dyDescent="0.2">
      <c r="A28" s="52" t="s">
        <v>63</v>
      </c>
      <c r="B28" s="55" t="s">
        <v>209</v>
      </c>
      <c r="C28" s="53">
        <v>27003.255000000001</v>
      </c>
      <c r="D28" s="53" t="s">
        <v>39</v>
      </c>
      <c r="E28">
        <f t="shared" si="0"/>
        <v>7.9984409189800383</v>
      </c>
      <c r="F28">
        <f t="shared" si="1"/>
        <v>8</v>
      </c>
      <c r="G28">
        <f t="shared" si="2"/>
        <v>-7.4599999999918509E-2</v>
      </c>
      <c r="H28">
        <f t="shared" si="3"/>
        <v>-7.4599999999918509E-2</v>
      </c>
      <c r="O28">
        <f t="shared" ca="1" si="4"/>
        <v>3.8469270409294827E-2</v>
      </c>
      <c r="Q28" s="2">
        <f t="shared" si="5"/>
        <v>11984.755000000001</v>
      </c>
      <c r="R28" s="2"/>
      <c r="S28" s="2"/>
      <c r="T28" s="2"/>
    </row>
    <row r="29" spans="1:21" x14ac:dyDescent="0.2">
      <c r="A29" s="52" t="s">
        <v>58</v>
      </c>
      <c r="B29" s="55" t="s">
        <v>210</v>
      </c>
      <c r="C29" s="53">
        <v>27314.415000000001</v>
      </c>
      <c r="D29" s="53" t="s">
        <v>39</v>
      </c>
      <c r="E29">
        <f t="shared" si="0"/>
        <v>14.501438910566012</v>
      </c>
      <c r="F29">
        <f t="shared" si="1"/>
        <v>14.5</v>
      </c>
      <c r="G29">
        <f t="shared" si="2"/>
        <v>6.8849999999656575E-2</v>
      </c>
      <c r="H29">
        <f t="shared" si="3"/>
        <v>6.8849999999656575E-2</v>
      </c>
      <c r="O29">
        <f t="shared" ca="1" si="4"/>
        <v>3.8508032555802638E-2</v>
      </c>
      <c r="Q29" s="2">
        <f t="shared" si="5"/>
        <v>12295.915000000001</v>
      </c>
      <c r="R29" s="2"/>
      <c r="S29" s="2"/>
      <c r="T29" s="2"/>
    </row>
    <row r="30" spans="1:21" x14ac:dyDescent="0.2">
      <c r="A30" s="52" t="s">
        <v>58</v>
      </c>
      <c r="B30" s="55" t="s">
        <v>209</v>
      </c>
      <c r="C30" s="53">
        <v>27386.294000000002</v>
      </c>
      <c r="D30" s="53" t="s">
        <v>39</v>
      </c>
      <c r="E30">
        <f t="shared" si="0"/>
        <v>16.00365318180015</v>
      </c>
      <c r="F30">
        <f t="shared" si="1"/>
        <v>16</v>
      </c>
      <c r="G30">
        <f t="shared" si="2"/>
        <v>0.17480000000068685</v>
      </c>
      <c r="H30">
        <f t="shared" si="3"/>
        <v>0.17480000000068685</v>
      </c>
      <c r="O30">
        <f t="shared" ca="1" si="4"/>
        <v>3.851697766653521E-2</v>
      </c>
      <c r="Q30" s="2">
        <f t="shared" si="5"/>
        <v>12367.794000000002</v>
      </c>
      <c r="R30" s="2"/>
      <c r="S30" s="2"/>
      <c r="T30" s="2"/>
    </row>
    <row r="31" spans="1:21" x14ac:dyDescent="0.2">
      <c r="A31" s="52" t="s">
        <v>89</v>
      </c>
      <c r="B31" s="55" t="s">
        <v>209</v>
      </c>
      <c r="C31" s="53">
        <v>31262.240000000002</v>
      </c>
      <c r="D31" s="53" t="s">
        <v>39</v>
      </c>
      <c r="E31">
        <f t="shared" si="0"/>
        <v>97.00786019264892</v>
      </c>
      <c r="F31">
        <f t="shared" si="1"/>
        <v>97</v>
      </c>
      <c r="G31">
        <f t="shared" si="2"/>
        <v>0.37610000000131549</v>
      </c>
      <c r="H31">
        <f t="shared" si="3"/>
        <v>0.37610000000131549</v>
      </c>
      <c r="O31">
        <f t="shared" ca="1" si="4"/>
        <v>3.9000013646094032E-2</v>
      </c>
      <c r="Q31" s="2">
        <f t="shared" si="5"/>
        <v>16243.740000000002</v>
      </c>
      <c r="R31" s="2"/>
      <c r="S31" s="2"/>
      <c r="T31" s="2"/>
    </row>
    <row r="32" spans="1:21" x14ac:dyDescent="0.2">
      <c r="A32" s="52" t="s">
        <v>89</v>
      </c>
      <c r="B32" s="55" t="s">
        <v>209</v>
      </c>
      <c r="C32" s="53">
        <v>31310.17</v>
      </c>
      <c r="D32" s="53" t="s">
        <v>39</v>
      </c>
      <c r="E32">
        <f t="shared" si="0"/>
        <v>98.009559298371684</v>
      </c>
      <c r="F32">
        <f t="shared" si="1"/>
        <v>98</v>
      </c>
      <c r="G32">
        <f t="shared" si="2"/>
        <v>0.45739999999932479</v>
      </c>
      <c r="H32">
        <f t="shared" si="3"/>
        <v>0.45739999999932479</v>
      </c>
      <c r="O32">
        <f t="shared" ca="1" si="4"/>
        <v>3.9005977053249083E-2</v>
      </c>
      <c r="Q32" s="2">
        <f t="shared" si="5"/>
        <v>16291.669999999998</v>
      </c>
      <c r="R32" s="2"/>
      <c r="S32" s="2"/>
      <c r="T32" s="2"/>
    </row>
    <row r="33" spans="1:21" x14ac:dyDescent="0.2">
      <c r="A33" s="52" t="s">
        <v>89</v>
      </c>
      <c r="B33" s="55" t="s">
        <v>209</v>
      </c>
      <c r="C33" s="53">
        <v>31740.25</v>
      </c>
      <c r="D33" s="53" t="s">
        <v>39</v>
      </c>
      <c r="E33">
        <f t="shared" si="0"/>
        <v>106.99789126977325</v>
      </c>
      <c r="F33">
        <f t="shared" si="1"/>
        <v>107</v>
      </c>
      <c r="G33">
        <f t="shared" si="2"/>
        <v>-0.10090000000127475</v>
      </c>
      <c r="H33">
        <f t="shared" si="3"/>
        <v>-0.10090000000127475</v>
      </c>
      <c r="O33">
        <f t="shared" ca="1" si="4"/>
        <v>3.9059647717644509E-2</v>
      </c>
      <c r="Q33" s="2">
        <f t="shared" si="5"/>
        <v>16721.75</v>
      </c>
      <c r="R33" s="2"/>
      <c r="S33" s="2"/>
      <c r="T33" s="2"/>
    </row>
    <row r="34" spans="1:21" x14ac:dyDescent="0.2">
      <c r="A34" s="52" t="s">
        <v>89</v>
      </c>
      <c r="B34" s="55" t="s">
        <v>209</v>
      </c>
      <c r="C34" s="53">
        <v>32027.27</v>
      </c>
      <c r="D34" s="53" t="s">
        <v>39</v>
      </c>
      <c r="E34">
        <f t="shared" si="0"/>
        <v>112.99638234685581</v>
      </c>
      <c r="F34">
        <f t="shared" si="1"/>
        <v>113</v>
      </c>
      <c r="G34">
        <f t="shared" si="2"/>
        <v>-0.17309999999997672</v>
      </c>
      <c r="H34">
        <f t="shared" si="3"/>
        <v>-0.17309999999997672</v>
      </c>
      <c r="O34">
        <f t="shared" ca="1" si="4"/>
        <v>3.9095428160574791E-2</v>
      </c>
      <c r="Q34" s="2">
        <f t="shared" si="5"/>
        <v>17008.77</v>
      </c>
      <c r="R34" s="2"/>
      <c r="S34" s="2"/>
      <c r="T34" s="2"/>
    </row>
    <row r="35" spans="1:21" x14ac:dyDescent="0.2">
      <c r="A35" s="52" t="s">
        <v>89</v>
      </c>
      <c r="B35" s="55" t="s">
        <v>209</v>
      </c>
      <c r="C35" s="53">
        <v>32745.31</v>
      </c>
      <c r="D35" s="53" t="s">
        <v>39</v>
      </c>
      <c r="E35">
        <f t="shared" si="0"/>
        <v>128.00285065215982</v>
      </c>
      <c r="F35">
        <f t="shared" si="1"/>
        <v>128</v>
      </c>
      <c r="G35">
        <f t="shared" si="2"/>
        <v>0.1363999999994121</v>
      </c>
      <c r="H35">
        <f t="shared" si="3"/>
        <v>0.1363999999994121</v>
      </c>
      <c r="O35">
        <f t="shared" ca="1" si="4"/>
        <v>3.9184879267900499E-2</v>
      </c>
      <c r="Q35" s="2">
        <f t="shared" si="5"/>
        <v>17726.810000000001</v>
      </c>
      <c r="R35" s="2"/>
      <c r="S35" s="2"/>
      <c r="T35" s="2"/>
    </row>
    <row r="36" spans="1:21" x14ac:dyDescent="0.2">
      <c r="A36" s="52" t="s">
        <v>89</v>
      </c>
      <c r="B36" s="55" t="s">
        <v>209</v>
      </c>
      <c r="C36" s="53">
        <v>33415.35</v>
      </c>
      <c r="D36" s="53" t="s">
        <v>39</v>
      </c>
      <c r="E36">
        <f t="shared" si="0"/>
        <v>142.00615690708415</v>
      </c>
      <c r="F36">
        <f t="shared" si="1"/>
        <v>142</v>
      </c>
      <c r="G36">
        <f t="shared" si="2"/>
        <v>0.29460000000108266</v>
      </c>
      <c r="H36">
        <f t="shared" si="3"/>
        <v>0.29460000000108266</v>
      </c>
      <c r="O36">
        <f t="shared" ca="1" si="4"/>
        <v>3.9268366968071157E-2</v>
      </c>
      <c r="Q36" s="2">
        <f t="shared" si="5"/>
        <v>18396.849999999999</v>
      </c>
      <c r="R36" s="2"/>
      <c r="S36" s="2"/>
      <c r="T36" s="2"/>
    </row>
    <row r="37" spans="1:21" x14ac:dyDescent="0.2">
      <c r="A37" s="52" t="s">
        <v>109</v>
      </c>
      <c r="B37" s="55" t="s">
        <v>209</v>
      </c>
      <c r="C37" s="53">
        <v>33941.199999999997</v>
      </c>
      <c r="D37" s="53" t="s">
        <v>39</v>
      </c>
      <c r="E37">
        <f t="shared" si="0"/>
        <v>152.99600616108685</v>
      </c>
      <c r="F37">
        <f t="shared" si="1"/>
        <v>153</v>
      </c>
      <c r="G37">
        <f t="shared" si="2"/>
        <v>-0.1911000000036438</v>
      </c>
      <c r="H37">
        <f t="shared" si="3"/>
        <v>-0.1911000000036438</v>
      </c>
      <c r="O37">
        <f t="shared" ca="1" si="4"/>
        <v>3.9333964446776677E-2</v>
      </c>
      <c r="Q37" s="2">
        <f t="shared" si="5"/>
        <v>18922.699999999997</v>
      </c>
      <c r="R37" s="2"/>
      <c r="S37" s="2"/>
      <c r="T37" s="2"/>
    </row>
    <row r="38" spans="1:21" x14ac:dyDescent="0.2">
      <c r="A38" s="52" t="s">
        <v>109</v>
      </c>
      <c r="B38" s="55" t="s">
        <v>209</v>
      </c>
      <c r="C38" s="53">
        <v>34276.400000000001</v>
      </c>
      <c r="D38" s="53" t="s">
        <v>39</v>
      </c>
      <c r="E38">
        <f t="shared" si="0"/>
        <v>160.00142114623804</v>
      </c>
      <c r="F38">
        <f t="shared" si="1"/>
        <v>160</v>
      </c>
      <c r="G38">
        <f t="shared" si="2"/>
        <v>6.7999999999301508E-2</v>
      </c>
      <c r="H38">
        <f t="shared" si="3"/>
        <v>6.7999999999301508E-2</v>
      </c>
      <c r="O38">
        <f t="shared" ca="1" si="4"/>
        <v>3.937570829686201E-2</v>
      </c>
      <c r="Q38" s="2">
        <f t="shared" si="5"/>
        <v>19257.900000000001</v>
      </c>
      <c r="R38" s="2"/>
      <c r="S38" s="2"/>
      <c r="T38" s="2"/>
    </row>
    <row r="39" spans="1:21" x14ac:dyDescent="0.2">
      <c r="A39" s="52" t="s">
        <v>109</v>
      </c>
      <c r="B39" s="55" t="s">
        <v>209</v>
      </c>
      <c r="C39" s="53">
        <v>34611.4</v>
      </c>
      <c r="D39" s="53" t="s">
        <v>39</v>
      </c>
      <c r="E39">
        <f t="shared" si="0"/>
        <v>167.00265628951257</v>
      </c>
      <c r="F39">
        <f t="shared" si="1"/>
        <v>167</v>
      </c>
      <c r="G39">
        <f t="shared" si="2"/>
        <v>0.12709999999788124</v>
      </c>
      <c r="H39">
        <f t="shared" si="3"/>
        <v>0.12709999999788124</v>
      </c>
      <c r="O39">
        <f t="shared" ca="1" si="4"/>
        <v>3.9417452146947342E-2</v>
      </c>
      <c r="Q39" s="2">
        <f t="shared" si="5"/>
        <v>19592.900000000001</v>
      </c>
      <c r="R39" s="2"/>
      <c r="S39" s="2"/>
      <c r="T39" s="2"/>
    </row>
    <row r="40" spans="1:21" x14ac:dyDescent="0.2">
      <c r="A40" s="52" t="s">
        <v>119</v>
      </c>
      <c r="B40" s="55" t="s">
        <v>210</v>
      </c>
      <c r="C40" s="53">
        <v>36022.49</v>
      </c>
      <c r="D40" s="53" t="s">
        <v>39</v>
      </c>
      <c r="E40">
        <f t="shared" si="0"/>
        <v>196.49332165764162</v>
      </c>
      <c r="F40">
        <f t="shared" si="1"/>
        <v>196.5</v>
      </c>
      <c r="G40">
        <f t="shared" si="2"/>
        <v>-0.31955000000743894</v>
      </c>
      <c r="I40">
        <f>+G40</f>
        <v>-0.31955000000743894</v>
      </c>
      <c r="O40">
        <f t="shared" ca="1" si="4"/>
        <v>3.9593372658021236E-2</v>
      </c>
      <c r="Q40" s="2">
        <f t="shared" si="5"/>
        <v>21003.989999999998</v>
      </c>
      <c r="R40" s="2"/>
      <c r="S40" s="2"/>
      <c r="T40" s="2"/>
    </row>
    <row r="41" spans="1:21" x14ac:dyDescent="0.2">
      <c r="A41" s="52" t="s">
        <v>119</v>
      </c>
      <c r="B41" s="55" t="s">
        <v>210</v>
      </c>
      <c r="C41" s="53">
        <v>36070.42</v>
      </c>
      <c r="D41" s="53" t="s">
        <v>39</v>
      </c>
      <c r="E41">
        <f t="shared" si="0"/>
        <v>197.49502076336447</v>
      </c>
      <c r="F41">
        <f t="shared" si="1"/>
        <v>197.5</v>
      </c>
      <c r="G41">
        <f t="shared" si="2"/>
        <v>-0.23825000000215368</v>
      </c>
      <c r="I41">
        <f>+G41</f>
        <v>-0.23825000000215368</v>
      </c>
      <c r="O41">
        <f t="shared" ca="1" si="4"/>
        <v>3.959933606517628E-2</v>
      </c>
      <c r="Q41" s="2">
        <f t="shared" si="5"/>
        <v>21051.919999999998</v>
      </c>
      <c r="R41" s="2"/>
      <c r="S41" s="2"/>
      <c r="T41" s="2"/>
    </row>
    <row r="42" spans="1:21" x14ac:dyDescent="0.2">
      <c r="A42" s="52" t="s">
        <v>119</v>
      </c>
      <c r="B42" s="55" t="s">
        <v>210</v>
      </c>
      <c r="C42" s="53">
        <v>36453.339999999997</v>
      </c>
      <c r="D42" s="53" t="s">
        <v>39</v>
      </c>
      <c r="E42">
        <f t="shared" si="0"/>
        <v>205.49774602026795</v>
      </c>
      <c r="F42">
        <f t="shared" si="1"/>
        <v>205.5</v>
      </c>
      <c r="G42">
        <f t="shared" si="2"/>
        <v>-0.10785000000032596</v>
      </c>
      <c r="I42">
        <f>+G42</f>
        <v>-0.10785000000032596</v>
      </c>
      <c r="O42">
        <f t="shared" ca="1" si="4"/>
        <v>3.9647043322416663E-2</v>
      </c>
      <c r="Q42" s="2">
        <f t="shared" si="5"/>
        <v>21434.839999999997</v>
      </c>
      <c r="R42" s="2"/>
      <c r="S42" s="2"/>
      <c r="T42" s="2"/>
    </row>
    <row r="43" spans="1:21" x14ac:dyDescent="0.2">
      <c r="A43" s="52" t="s">
        <v>119</v>
      </c>
      <c r="B43" s="55" t="s">
        <v>210</v>
      </c>
      <c r="C43" s="53">
        <v>36454.42</v>
      </c>
      <c r="D43" s="53" t="s">
        <v>39</v>
      </c>
      <c r="E43">
        <f t="shared" si="0"/>
        <v>205.52031716640153</v>
      </c>
      <c r="F43">
        <f t="shared" si="1"/>
        <v>205.5</v>
      </c>
      <c r="G43">
        <f t="shared" si="2"/>
        <v>0.97215000000142027</v>
      </c>
      <c r="I43">
        <f>+G43</f>
        <v>0.97215000000142027</v>
      </c>
      <c r="O43">
        <f t="shared" ca="1" si="4"/>
        <v>3.9647043322416663E-2</v>
      </c>
      <c r="Q43" s="2">
        <f t="shared" si="5"/>
        <v>21435.919999999998</v>
      </c>
      <c r="R43" s="2"/>
      <c r="S43" s="2"/>
      <c r="T43" s="2"/>
    </row>
    <row r="44" spans="1:21" x14ac:dyDescent="0.2">
      <c r="A44" s="52" t="s">
        <v>119</v>
      </c>
      <c r="B44" s="55" t="s">
        <v>209</v>
      </c>
      <c r="C44" s="53">
        <v>36764.51</v>
      </c>
      <c r="D44" s="53" t="s">
        <v>39</v>
      </c>
      <c r="E44">
        <f t="shared" si="0"/>
        <v>212.00095300394787</v>
      </c>
      <c r="F44">
        <f t="shared" si="1"/>
        <v>212</v>
      </c>
      <c r="G44">
        <f t="shared" si="2"/>
        <v>4.5600000004924368E-2</v>
      </c>
      <c r="I44">
        <f>+G44</f>
        <v>4.5600000004924368E-2</v>
      </c>
      <c r="O44">
        <f t="shared" ca="1" si="4"/>
        <v>3.9685805468924466E-2</v>
      </c>
      <c r="Q44" s="2">
        <f t="shared" si="5"/>
        <v>21746.010000000002</v>
      </c>
      <c r="R44" s="2"/>
      <c r="S44" s="2"/>
      <c r="T44" s="2"/>
    </row>
    <row r="45" spans="1:21" x14ac:dyDescent="0.2">
      <c r="A45" s="52" t="s">
        <v>119</v>
      </c>
      <c r="B45" s="55" t="s">
        <v>209</v>
      </c>
      <c r="C45" s="53">
        <v>36863.4</v>
      </c>
      <c r="D45" s="53" t="s">
        <v>39</v>
      </c>
      <c r="E45">
        <f t="shared" si="0"/>
        <v>214.06767581982373</v>
      </c>
      <c r="F45">
        <f t="shared" si="1"/>
        <v>214</v>
      </c>
      <c r="O45">
        <f t="shared" ca="1" si="4"/>
        <v>3.969773228323456E-2</v>
      </c>
      <c r="Q45" s="2">
        <f t="shared" si="5"/>
        <v>21844.9</v>
      </c>
      <c r="R45" s="2"/>
      <c r="S45" s="2"/>
      <c r="T45" s="2"/>
      <c r="U45">
        <f>+C45-(C$7+F45*C$8)</f>
        <v>3.2381999999997788</v>
      </c>
    </row>
    <row r="46" spans="1:21" x14ac:dyDescent="0.2">
      <c r="A46" s="52" t="s">
        <v>119</v>
      </c>
      <c r="B46" s="55" t="s">
        <v>210</v>
      </c>
      <c r="C46" s="53">
        <v>37171.46</v>
      </c>
      <c r="D46" s="53" t="s">
        <v>39</v>
      </c>
      <c r="E46">
        <f t="shared" si="0"/>
        <v>220.50588626232266</v>
      </c>
      <c r="F46">
        <f t="shared" si="1"/>
        <v>220.5</v>
      </c>
      <c r="G46">
        <f t="shared" ref="G46:G62" si="6">+C46-(C$7+F46*C$8)</f>
        <v>0.28164999999717111</v>
      </c>
      <c r="I46">
        <f t="shared" ref="I46:I62" si="7">+G46</f>
        <v>0.28164999999717111</v>
      </c>
      <c r="O46">
        <f t="shared" ca="1" si="4"/>
        <v>3.9736494429742371E-2</v>
      </c>
      <c r="Q46" s="2">
        <f t="shared" si="5"/>
        <v>22152.959999999999</v>
      </c>
      <c r="R46" s="2"/>
      <c r="S46" s="2"/>
      <c r="T46" s="2"/>
    </row>
    <row r="47" spans="1:21" x14ac:dyDescent="0.2">
      <c r="A47" s="52" t="s">
        <v>119</v>
      </c>
      <c r="B47" s="55" t="s">
        <v>209</v>
      </c>
      <c r="C47" s="53">
        <v>37194.39</v>
      </c>
      <c r="D47" s="53" t="s">
        <v>39</v>
      </c>
      <c r="E47">
        <f t="shared" si="0"/>
        <v>220.98510513347276</v>
      </c>
      <c r="F47">
        <f t="shared" si="1"/>
        <v>221</v>
      </c>
      <c r="G47">
        <f t="shared" si="6"/>
        <v>-0.71270000000367872</v>
      </c>
      <c r="I47">
        <f t="shared" si="7"/>
        <v>-0.71270000000367872</v>
      </c>
      <c r="O47">
        <f t="shared" ca="1" si="4"/>
        <v>3.9739476133319893E-2</v>
      </c>
      <c r="Q47" s="2">
        <f t="shared" si="5"/>
        <v>22175.89</v>
      </c>
      <c r="R47" s="2"/>
      <c r="S47" s="2"/>
      <c r="T47" s="2"/>
    </row>
    <row r="48" spans="1:21" x14ac:dyDescent="0.2">
      <c r="A48" s="52" t="s">
        <v>145</v>
      </c>
      <c r="B48" s="55" t="s">
        <v>209</v>
      </c>
      <c r="C48" s="53">
        <v>37577.925999999999</v>
      </c>
      <c r="D48" s="53" t="s">
        <v>39</v>
      </c>
      <c r="E48">
        <f t="shared" si="0"/>
        <v>229.00070430335617</v>
      </c>
      <c r="F48">
        <f t="shared" si="1"/>
        <v>229</v>
      </c>
      <c r="G48">
        <f t="shared" si="6"/>
        <v>3.3699999999953434E-2</v>
      </c>
      <c r="I48">
        <f t="shared" si="7"/>
        <v>3.3699999999953434E-2</v>
      </c>
      <c r="O48">
        <f t="shared" ca="1" si="4"/>
        <v>3.9787183390560268E-2</v>
      </c>
      <c r="Q48" s="2">
        <f t="shared" si="5"/>
        <v>22559.425999999999</v>
      </c>
      <c r="R48" s="2"/>
      <c r="S48" s="2"/>
      <c r="T48" s="2"/>
    </row>
    <row r="49" spans="1:20" x14ac:dyDescent="0.2">
      <c r="A49" s="52" t="s">
        <v>119</v>
      </c>
      <c r="B49" s="55" t="s">
        <v>209</v>
      </c>
      <c r="C49" s="53">
        <v>37578.42</v>
      </c>
      <c r="D49" s="53" t="s">
        <v>39</v>
      </c>
      <c r="E49">
        <f t="shared" si="0"/>
        <v>229.01102851279131</v>
      </c>
      <c r="F49">
        <f t="shared" si="1"/>
        <v>229</v>
      </c>
      <c r="G49">
        <f t="shared" si="6"/>
        <v>0.52769999999873107</v>
      </c>
      <c r="I49">
        <f t="shared" si="7"/>
        <v>0.52769999999873107</v>
      </c>
      <c r="O49">
        <f t="shared" ca="1" si="4"/>
        <v>3.9787183390560268E-2</v>
      </c>
      <c r="Q49" s="2">
        <f t="shared" si="5"/>
        <v>22559.919999999998</v>
      </c>
      <c r="R49" s="2"/>
      <c r="S49" s="2"/>
      <c r="T49" s="2"/>
    </row>
    <row r="50" spans="1:20" x14ac:dyDescent="0.2">
      <c r="A50" s="52" t="s">
        <v>119</v>
      </c>
      <c r="B50" s="55" t="s">
        <v>209</v>
      </c>
      <c r="C50" s="53">
        <v>37960.339999999997</v>
      </c>
      <c r="D50" s="53" t="s">
        <v>39</v>
      </c>
      <c r="E50">
        <f t="shared" si="0"/>
        <v>236.99285456031188</v>
      </c>
      <c r="F50">
        <f t="shared" si="1"/>
        <v>237</v>
      </c>
      <c r="G50">
        <f t="shared" si="6"/>
        <v>-0.34190000000671716</v>
      </c>
      <c r="I50">
        <f t="shared" si="7"/>
        <v>-0.34190000000671716</v>
      </c>
      <c r="O50">
        <f t="shared" ca="1" si="4"/>
        <v>3.9834890647800644E-2</v>
      </c>
      <c r="Q50" s="2">
        <f t="shared" si="5"/>
        <v>22941.839999999997</v>
      </c>
      <c r="R50" s="2"/>
      <c r="S50" s="2"/>
      <c r="T50" s="2"/>
    </row>
    <row r="51" spans="1:20" x14ac:dyDescent="0.2">
      <c r="A51" s="52" t="s">
        <v>119</v>
      </c>
      <c r="B51" s="55" t="s">
        <v>210</v>
      </c>
      <c r="C51" s="53">
        <v>38319.370000000003</v>
      </c>
      <c r="D51" s="53" t="s">
        <v>39</v>
      </c>
      <c r="E51">
        <f t="shared" si="0"/>
        <v>244.49629770505786</v>
      </c>
      <c r="F51">
        <f t="shared" si="1"/>
        <v>244.5</v>
      </c>
      <c r="G51">
        <f t="shared" si="6"/>
        <v>-0.17714999999589054</v>
      </c>
      <c r="I51">
        <f t="shared" si="7"/>
        <v>-0.17714999999589054</v>
      </c>
      <c r="O51">
        <f t="shared" ca="1" si="4"/>
        <v>3.9879616201463505E-2</v>
      </c>
      <c r="Q51" s="2">
        <f t="shared" si="5"/>
        <v>23300.870000000003</v>
      </c>
      <c r="R51" s="2"/>
      <c r="S51" s="2"/>
      <c r="T51" s="2"/>
    </row>
    <row r="52" spans="1:20" x14ac:dyDescent="0.2">
      <c r="A52" s="52" t="s">
        <v>119</v>
      </c>
      <c r="B52" s="55" t="s">
        <v>209</v>
      </c>
      <c r="C52" s="53">
        <v>39204.629999999997</v>
      </c>
      <c r="D52" s="53" t="s">
        <v>39</v>
      </c>
      <c r="E52">
        <f t="shared" si="0"/>
        <v>262.99753180337183</v>
      </c>
      <c r="F52">
        <f t="shared" si="1"/>
        <v>263</v>
      </c>
      <c r="G52">
        <f t="shared" si="6"/>
        <v>-0.11809999999968568</v>
      </c>
      <c r="I52">
        <f t="shared" si="7"/>
        <v>-0.11809999999968568</v>
      </c>
      <c r="O52">
        <f t="shared" ca="1" si="4"/>
        <v>3.9989939233831873E-2</v>
      </c>
      <c r="Q52" s="2">
        <f t="shared" si="5"/>
        <v>24186.129999999997</v>
      </c>
      <c r="R52" s="2"/>
      <c r="S52" s="2"/>
      <c r="T52" s="2"/>
    </row>
    <row r="53" spans="1:20" x14ac:dyDescent="0.2">
      <c r="A53" s="52" t="s">
        <v>119</v>
      </c>
      <c r="B53" s="55" t="s">
        <v>210</v>
      </c>
      <c r="C53" s="53">
        <v>39611.56</v>
      </c>
      <c r="D53" s="53" t="s">
        <v>39</v>
      </c>
      <c r="E53">
        <f t="shared" si="0"/>
        <v>271.50204707755898</v>
      </c>
      <c r="F53">
        <f t="shared" si="1"/>
        <v>271.5</v>
      </c>
      <c r="G53">
        <f t="shared" si="6"/>
        <v>9.7949999995762482E-2</v>
      </c>
      <c r="I53">
        <f t="shared" si="7"/>
        <v>9.7949999995762482E-2</v>
      </c>
      <c r="O53">
        <f t="shared" ca="1" si="4"/>
        <v>4.0040628194649777E-2</v>
      </c>
      <c r="Q53" s="2">
        <f t="shared" si="5"/>
        <v>24593.059999999998</v>
      </c>
      <c r="R53" s="2"/>
      <c r="S53" s="2"/>
      <c r="T53" s="2"/>
    </row>
    <row r="54" spans="1:20" x14ac:dyDescent="0.2">
      <c r="A54" s="52" t="s">
        <v>119</v>
      </c>
      <c r="B54" s="55" t="s">
        <v>209</v>
      </c>
      <c r="C54" s="53">
        <v>39683.440000000002</v>
      </c>
      <c r="D54" s="53" t="s">
        <v>39</v>
      </c>
      <c r="E54">
        <f t="shared" si="0"/>
        <v>273.0042822480026</v>
      </c>
      <c r="F54">
        <f t="shared" si="1"/>
        <v>273</v>
      </c>
      <c r="G54">
        <f t="shared" si="6"/>
        <v>0.20489999999699648</v>
      </c>
      <c r="I54">
        <f t="shared" si="7"/>
        <v>0.20489999999699648</v>
      </c>
      <c r="O54">
        <f t="shared" ca="1" si="4"/>
        <v>4.0049573305382349E-2</v>
      </c>
      <c r="Q54" s="2">
        <f t="shared" si="5"/>
        <v>24664.940000000002</v>
      </c>
      <c r="R54" s="2"/>
      <c r="S54" s="2"/>
      <c r="T54" s="2"/>
    </row>
    <row r="55" spans="1:20" x14ac:dyDescent="0.2">
      <c r="A55" s="52" t="s">
        <v>119</v>
      </c>
      <c r="B55" s="55" t="s">
        <v>209</v>
      </c>
      <c r="C55" s="53">
        <v>39683.47</v>
      </c>
      <c r="D55" s="53" t="s">
        <v>39</v>
      </c>
      <c r="E55">
        <f t="shared" si="0"/>
        <v>273.00490922428406</v>
      </c>
      <c r="F55">
        <f t="shared" si="1"/>
        <v>273</v>
      </c>
      <c r="G55">
        <f t="shared" si="6"/>
        <v>0.23489999999583233</v>
      </c>
      <c r="I55">
        <f t="shared" si="7"/>
        <v>0.23489999999583233</v>
      </c>
      <c r="O55">
        <f t="shared" ca="1" si="4"/>
        <v>4.0049573305382349E-2</v>
      </c>
      <c r="Q55" s="2">
        <f t="shared" si="5"/>
        <v>24664.97</v>
      </c>
      <c r="R55" s="2"/>
      <c r="S55" s="2"/>
      <c r="T55" s="2"/>
    </row>
    <row r="56" spans="1:20" x14ac:dyDescent="0.2">
      <c r="A56" s="52" t="s">
        <v>119</v>
      </c>
      <c r="B56" s="55" t="s">
        <v>209</v>
      </c>
      <c r="C56" s="53">
        <v>39827.26</v>
      </c>
      <c r="D56" s="53" t="s">
        <v>39</v>
      </c>
      <c r="E56">
        <f t="shared" si="0"/>
        <v>276.01000654145258</v>
      </c>
      <c r="F56">
        <f t="shared" si="1"/>
        <v>276</v>
      </c>
      <c r="G56">
        <f t="shared" si="6"/>
        <v>0.47880000000441214</v>
      </c>
      <c r="I56">
        <f t="shared" si="7"/>
        <v>0.47880000000441214</v>
      </c>
      <c r="O56">
        <f t="shared" ca="1" si="4"/>
        <v>4.0067463526847487E-2</v>
      </c>
      <c r="Q56" s="2">
        <f t="shared" si="5"/>
        <v>24808.760000000002</v>
      </c>
      <c r="R56" s="2"/>
      <c r="S56" s="2"/>
      <c r="T56" s="2"/>
    </row>
    <row r="57" spans="1:20" x14ac:dyDescent="0.2">
      <c r="A57" s="52" t="s">
        <v>119</v>
      </c>
      <c r="B57" s="55" t="s">
        <v>209</v>
      </c>
      <c r="C57" s="53">
        <v>39827.32</v>
      </c>
      <c r="D57" s="53" t="s">
        <v>39</v>
      </c>
      <c r="E57">
        <f t="shared" si="0"/>
        <v>276.01126049401546</v>
      </c>
      <c r="F57">
        <f t="shared" si="1"/>
        <v>276</v>
      </c>
      <c r="G57">
        <f t="shared" si="6"/>
        <v>0.53880000000208383</v>
      </c>
      <c r="I57">
        <f t="shared" si="7"/>
        <v>0.53880000000208383</v>
      </c>
      <c r="O57">
        <f t="shared" ca="1" si="4"/>
        <v>4.0067463526847487E-2</v>
      </c>
      <c r="Q57" s="2">
        <f t="shared" si="5"/>
        <v>24808.82</v>
      </c>
      <c r="R57" s="2"/>
      <c r="S57" s="2"/>
      <c r="T57" s="2"/>
    </row>
    <row r="58" spans="1:20" x14ac:dyDescent="0.2">
      <c r="A58" s="52" t="s">
        <v>119</v>
      </c>
      <c r="B58" s="55" t="s">
        <v>209</v>
      </c>
      <c r="C58" s="53">
        <v>40066.44</v>
      </c>
      <c r="D58" s="53" t="s">
        <v>39</v>
      </c>
      <c r="E58">
        <f t="shared" si="0"/>
        <v>281.00867944165674</v>
      </c>
      <c r="F58">
        <f t="shared" si="1"/>
        <v>281</v>
      </c>
      <c r="G58">
        <f t="shared" si="6"/>
        <v>0.41530000000057044</v>
      </c>
      <c r="I58">
        <f t="shared" si="7"/>
        <v>0.41530000000057044</v>
      </c>
      <c r="O58">
        <f t="shared" ca="1" si="4"/>
        <v>4.0097280562622725E-2</v>
      </c>
      <c r="Q58" s="2">
        <f t="shared" si="5"/>
        <v>25047.940000000002</v>
      </c>
      <c r="R58" s="2"/>
      <c r="S58" s="2"/>
      <c r="T58" s="2"/>
    </row>
    <row r="59" spans="1:20" x14ac:dyDescent="0.2">
      <c r="A59" s="52" t="s">
        <v>119</v>
      </c>
      <c r="B59" s="55" t="s">
        <v>210</v>
      </c>
      <c r="C59" s="53">
        <v>40425.480000000003</v>
      </c>
      <c r="D59" s="53" t="s">
        <v>39</v>
      </c>
      <c r="E59">
        <f t="shared" si="0"/>
        <v>288.5123315784964</v>
      </c>
      <c r="F59">
        <f t="shared" si="1"/>
        <v>288.5</v>
      </c>
      <c r="G59">
        <f t="shared" si="6"/>
        <v>0.59005000000615837</v>
      </c>
      <c r="I59">
        <f t="shared" si="7"/>
        <v>0.59005000000615837</v>
      </c>
      <c r="O59">
        <f t="shared" ca="1" si="4"/>
        <v>4.0142006116285579E-2</v>
      </c>
      <c r="Q59" s="2">
        <f t="shared" si="5"/>
        <v>25406.980000000003</v>
      </c>
      <c r="R59" s="2"/>
      <c r="S59" s="2"/>
      <c r="T59" s="2"/>
    </row>
    <row r="60" spans="1:20" x14ac:dyDescent="0.2">
      <c r="A60" s="52" t="s">
        <v>119</v>
      </c>
      <c r="B60" s="55" t="s">
        <v>210</v>
      </c>
      <c r="C60" s="53">
        <v>40472.370000000003</v>
      </c>
      <c r="D60" s="53" t="s">
        <v>39</v>
      </c>
      <c r="E60">
        <f t="shared" si="0"/>
        <v>289.49229550646101</v>
      </c>
      <c r="F60">
        <f t="shared" si="1"/>
        <v>289.5</v>
      </c>
      <c r="G60">
        <f t="shared" si="6"/>
        <v>-0.36864999999670545</v>
      </c>
      <c r="I60">
        <f t="shared" si="7"/>
        <v>-0.36864999999670545</v>
      </c>
      <c r="O60">
        <f t="shared" ca="1" si="4"/>
        <v>4.014796952344063E-2</v>
      </c>
      <c r="Q60" s="2">
        <f t="shared" si="5"/>
        <v>25453.870000000003</v>
      </c>
      <c r="R60" s="2"/>
      <c r="S60" s="2"/>
      <c r="T60" s="2"/>
    </row>
    <row r="61" spans="1:20" x14ac:dyDescent="0.2">
      <c r="A61" s="52" t="s">
        <v>119</v>
      </c>
      <c r="B61" s="55" t="s">
        <v>210</v>
      </c>
      <c r="C61" s="53">
        <v>40473.39</v>
      </c>
      <c r="D61" s="53" t="s">
        <v>39</v>
      </c>
      <c r="E61">
        <f t="shared" si="0"/>
        <v>289.5136127000315</v>
      </c>
      <c r="F61">
        <f t="shared" si="1"/>
        <v>289.5</v>
      </c>
      <c r="G61">
        <f t="shared" si="6"/>
        <v>0.65135000000009313</v>
      </c>
      <c r="I61">
        <f t="shared" si="7"/>
        <v>0.65135000000009313</v>
      </c>
      <c r="O61">
        <f t="shared" ca="1" si="4"/>
        <v>4.014796952344063E-2</v>
      </c>
      <c r="Q61" s="2">
        <f t="shared" si="5"/>
        <v>25454.89</v>
      </c>
      <c r="R61" s="2"/>
      <c r="S61" s="2"/>
      <c r="T61" s="2"/>
    </row>
    <row r="62" spans="1:20" x14ac:dyDescent="0.2">
      <c r="A62" s="52" t="s">
        <v>119</v>
      </c>
      <c r="B62" s="55" t="s">
        <v>209</v>
      </c>
      <c r="C62" s="53">
        <v>40831.440000000002</v>
      </c>
      <c r="D62" s="53" t="s">
        <v>39</v>
      </c>
      <c r="E62">
        <f t="shared" si="0"/>
        <v>296.99657461958219</v>
      </c>
      <c r="F62">
        <f t="shared" si="1"/>
        <v>297</v>
      </c>
      <c r="G62">
        <f t="shared" si="6"/>
        <v>-0.16389999999955762</v>
      </c>
      <c r="I62">
        <f t="shared" si="7"/>
        <v>-0.16389999999955762</v>
      </c>
      <c r="O62">
        <f t="shared" ca="1" si="4"/>
        <v>4.0192695077103484E-2</v>
      </c>
      <c r="Q62" s="2">
        <f t="shared" si="5"/>
        <v>25812.940000000002</v>
      </c>
      <c r="R62" s="2"/>
      <c r="S62" s="2"/>
      <c r="T62" s="2"/>
    </row>
    <row r="63" spans="1:20" x14ac:dyDescent="0.2">
      <c r="A63" s="52" t="s">
        <v>119</v>
      </c>
      <c r="B63" s="55" t="s">
        <v>209</v>
      </c>
      <c r="C63" s="53">
        <v>41070.54</v>
      </c>
      <c r="D63" s="53" t="s">
        <v>39</v>
      </c>
      <c r="E63">
        <f t="shared" ref="E63:E69" si="8">+(C63-C$7)/C$8</f>
        <v>301.99357558303569</v>
      </c>
      <c r="F63">
        <f t="shared" ref="F63:F70" si="9">ROUND(2*E63,0)/2</f>
        <v>302</v>
      </c>
      <c r="G63">
        <f t="shared" ref="G63:G69" si="10">+C63-(C$7+F63*C$8)</f>
        <v>-0.3073999999978696</v>
      </c>
      <c r="I63">
        <f>+G63</f>
        <v>-0.3073999999978696</v>
      </c>
      <c r="O63">
        <f t="shared" ref="O63:O69" ca="1" si="11">+C$11+C$12*$F63</f>
        <v>4.0222512112878715E-2</v>
      </c>
      <c r="Q63" s="2">
        <f t="shared" ref="Q63:Q69" si="12">+C63-15018.5</f>
        <v>26052.04</v>
      </c>
      <c r="R63" s="2"/>
      <c r="S63" s="2"/>
      <c r="T63" s="2"/>
    </row>
    <row r="64" spans="1:20" x14ac:dyDescent="0.2">
      <c r="A64" s="52" t="s">
        <v>119</v>
      </c>
      <c r="B64" s="55" t="s">
        <v>209</v>
      </c>
      <c r="C64" s="53">
        <v>41166.49</v>
      </c>
      <c r="D64" s="53" t="s">
        <v>39</v>
      </c>
      <c r="E64">
        <f t="shared" si="8"/>
        <v>303.99885472332573</v>
      </c>
      <c r="F64">
        <f t="shared" si="9"/>
        <v>304</v>
      </c>
      <c r="G64">
        <f t="shared" si="10"/>
        <v>-5.4800000005343463E-2</v>
      </c>
      <c r="I64">
        <f>+G64</f>
        <v>-5.4800000005343463E-2</v>
      </c>
      <c r="O64">
        <f t="shared" ca="1" si="11"/>
        <v>4.0234438927188816E-2</v>
      </c>
      <c r="Q64" s="2">
        <f t="shared" si="12"/>
        <v>26147.989999999998</v>
      </c>
      <c r="R64" s="2"/>
      <c r="S64" s="2"/>
      <c r="T64" s="2"/>
    </row>
    <row r="65" spans="1:20" x14ac:dyDescent="0.2">
      <c r="A65" s="52" t="s">
        <v>119</v>
      </c>
      <c r="B65" s="55" t="s">
        <v>209</v>
      </c>
      <c r="C65" s="53">
        <v>41214.42</v>
      </c>
      <c r="D65" s="53" t="s">
        <v>39</v>
      </c>
      <c r="E65">
        <f t="shared" si="8"/>
        <v>305.00055382904861</v>
      </c>
      <c r="F65">
        <f t="shared" si="9"/>
        <v>305</v>
      </c>
      <c r="G65">
        <f t="shared" si="10"/>
        <v>2.6499999992665835E-2</v>
      </c>
      <c r="I65">
        <f>+G65</f>
        <v>2.6499999992665835E-2</v>
      </c>
      <c r="O65">
        <f t="shared" ca="1" si="11"/>
        <v>4.024040233434386E-2</v>
      </c>
      <c r="Q65" s="2">
        <f t="shared" si="12"/>
        <v>26195.919999999998</v>
      </c>
      <c r="R65" s="2"/>
      <c r="S65" s="2"/>
      <c r="T65" s="2"/>
    </row>
    <row r="66" spans="1:20" x14ac:dyDescent="0.2">
      <c r="A66" s="52" t="s">
        <v>119</v>
      </c>
      <c r="B66" s="55" t="s">
        <v>209</v>
      </c>
      <c r="C66" s="53">
        <v>42601.48</v>
      </c>
      <c r="D66" s="53" t="s">
        <v>39</v>
      </c>
      <c r="E66">
        <f t="shared" si="8"/>
        <v>333.9890111957065</v>
      </c>
      <c r="F66">
        <f t="shared" si="9"/>
        <v>334</v>
      </c>
      <c r="G66">
        <f t="shared" si="10"/>
        <v>-0.52579999999579741</v>
      </c>
      <c r="I66">
        <f>+G66</f>
        <v>-0.52579999999579741</v>
      </c>
      <c r="O66">
        <f t="shared" ca="1" si="11"/>
        <v>4.0413341141840232E-2</v>
      </c>
      <c r="Q66" s="2">
        <f t="shared" si="12"/>
        <v>27582.980000000003</v>
      </c>
      <c r="R66" s="2"/>
      <c r="S66" s="2"/>
      <c r="T66" s="2"/>
    </row>
    <row r="67" spans="1:20" x14ac:dyDescent="0.2">
      <c r="A67" s="52" t="s">
        <v>119</v>
      </c>
      <c r="B67" s="55" t="s">
        <v>209</v>
      </c>
      <c r="C67" s="53">
        <v>42697.42</v>
      </c>
      <c r="D67" s="53" t="s">
        <v>39</v>
      </c>
      <c r="E67">
        <f t="shared" si="8"/>
        <v>335.99408134390268</v>
      </c>
      <c r="F67">
        <f t="shared" si="9"/>
        <v>336</v>
      </c>
      <c r="G67">
        <f t="shared" si="10"/>
        <v>-0.28320000000530854</v>
      </c>
      <c r="I67">
        <f>+G67</f>
        <v>-0.28320000000530854</v>
      </c>
      <c r="O67">
        <f t="shared" ca="1" si="11"/>
        <v>4.0425267956150326E-2</v>
      </c>
      <c r="Q67" s="2">
        <f t="shared" si="12"/>
        <v>27678.92</v>
      </c>
      <c r="R67" s="2"/>
      <c r="S67" s="2"/>
      <c r="T67" s="2"/>
    </row>
    <row r="68" spans="1:20" x14ac:dyDescent="0.2">
      <c r="A68" s="56" t="s">
        <v>212</v>
      </c>
      <c r="B68" s="57"/>
      <c r="C68" s="56">
        <v>57243.385699999999</v>
      </c>
      <c r="D68" s="56">
        <v>1E-3</v>
      </c>
      <c r="E68">
        <f t="shared" si="8"/>
        <v>639.99326418481587</v>
      </c>
      <c r="F68">
        <f t="shared" si="9"/>
        <v>640</v>
      </c>
      <c r="G68">
        <f t="shared" si="10"/>
        <v>-0.32229999999981374</v>
      </c>
      <c r="K68">
        <f>+G68</f>
        <v>-0.32229999999981374</v>
      </c>
      <c r="O68">
        <f t="shared" ca="1" si="11"/>
        <v>4.2238143731284684E-2</v>
      </c>
      <c r="Q68" s="2">
        <f t="shared" si="12"/>
        <v>42224.885699999999</v>
      </c>
      <c r="R68" s="2"/>
      <c r="S68" s="2"/>
      <c r="T68" s="2"/>
    </row>
    <row r="69" spans="1:20" x14ac:dyDescent="0.2">
      <c r="A69" s="58" t="s">
        <v>0</v>
      </c>
      <c r="B69" s="59" t="s">
        <v>209</v>
      </c>
      <c r="C69" s="60">
        <v>57339.4</v>
      </c>
      <c r="D69" s="60">
        <v>0.1</v>
      </c>
      <c r="E69" s="61">
        <f t="shared" si="8"/>
        <v>641.99988714426934</v>
      </c>
      <c r="F69" s="61">
        <f t="shared" si="9"/>
        <v>642</v>
      </c>
      <c r="G69" s="61">
        <f t="shared" si="10"/>
        <v>-5.4000000018277206E-3</v>
      </c>
      <c r="H69" s="61"/>
      <c r="I69">
        <f>+G69</f>
        <v>-5.4000000018277206E-3</v>
      </c>
      <c r="O69">
        <f t="shared" ca="1" si="11"/>
        <v>4.2250070545594778E-2</v>
      </c>
      <c r="Q69" s="2">
        <f t="shared" si="12"/>
        <v>42320.9</v>
      </c>
    </row>
    <row r="70" spans="1:20" x14ac:dyDescent="0.2">
      <c r="A70" s="62" t="s">
        <v>213</v>
      </c>
      <c r="B70" s="63" t="s">
        <v>209</v>
      </c>
      <c r="C70" s="64">
        <v>57626.766489999834</v>
      </c>
      <c r="D70" s="64">
        <v>1.2999999999999999E-3</v>
      </c>
      <c r="E70">
        <f>+(C70-C$7)/C$8</f>
        <v>648.00561958840751</v>
      </c>
      <c r="F70">
        <f t="shared" si="9"/>
        <v>648</v>
      </c>
      <c r="G70">
        <f>+C70-(C$7+F70*C$8)</f>
        <v>0.26888999983202666</v>
      </c>
      <c r="K70">
        <f>+G70</f>
        <v>0.26888999983202666</v>
      </c>
      <c r="O70">
        <f ca="1">+C$11+C$12*$F70</f>
        <v>4.2285850988525067E-2</v>
      </c>
      <c r="Q70" s="2">
        <f>+C70-15018.5</f>
        <v>42608.266489999834</v>
      </c>
    </row>
    <row r="71" spans="1:20" x14ac:dyDescent="0.2">
      <c r="C71" s="8"/>
      <c r="D71" s="8"/>
    </row>
    <row r="72" spans="1:20" x14ac:dyDescent="0.2">
      <c r="C72" s="8"/>
      <c r="D72" s="8"/>
    </row>
    <row r="73" spans="1:20" x14ac:dyDescent="0.2">
      <c r="C73" s="8"/>
      <c r="D73" s="8"/>
    </row>
    <row r="74" spans="1:20" x14ac:dyDescent="0.2">
      <c r="C74" s="8"/>
      <c r="D74" s="8"/>
    </row>
    <row r="75" spans="1:20" x14ac:dyDescent="0.2">
      <c r="C75" s="8"/>
      <c r="D75" s="8"/>
    </row>
    <row r="76" spans="1:20" x14ac:dyDescent="0.2">
      <c r="C76" s="8"/>
      <c r="D76" s="8"/>
    </row>
    <row r="77" spans="1:20" x14ac:dyDescent="0.2">
      <c r="C77" s="8"/>
      <c r="D77" s="8"/>
    </row>
    <row r="78" spans="1:20" x14ac:dyDescent="0.2">
      <c r="C78" s="8"/>
      <c r="D78" s="8"/>
    </row>
    <row r="79" spans="1:20" x14ac:dyDescent="0.2">
      <c r="C79" s="8"/>
      <c r="D79" s="8"/>
    </row>
    <row r="80" spans="1:20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70:D70" name="Range1"/>
  </protectedRanges>
  <phoneticPr fontId="8" type="noConversion"/>
  <hyperlinks>
    <hyperlink ref="H1014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1"/>
  <sheetViews>
    <sheetView topLeftCell="A6" workbookViewId="0">
      <selection activeCell="A11" sqref="A11:D57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42</v>
      </c>
      <c r="I1" s="39" t="s">
        <v>43</v>
      </c>
      <c r="J1" s="40" t="s">
        <v>41</v>
      </c>
    </row>
    <row r="2" spans="1:16" x14ac:dyDescent="0.2">
      <c r="I2" s="41" t="s">
        <v>44</v>
      </c>
      <c r="J2" s="42" t="s">
        <v>40</v>
      </c>
    </row>
    <row r="3" spans="1:16" x14ac:dyDescent="0.2">
      <c r="A3" s="43" t="s">
        <v>45</v>
      </c>
      <c r="I3" s="41" t="s">
        <v>46</v>
      </c>
      <c r="J3" s="42" t="s">
        <v>38</v>
      </c>
    </row>
    <row r="4" spans="1:16" x14ac:dyDescent="0.2">
      <c r="I4" s="41" t="s">
        <v>47</v>
      </c>
      <c r="J4" s="42" t="s">
        <v>38</v>
      </c>
    </row>
    <row r="5" spans="1:16" ht="13.5" thickBot="1" x14ac:dyDescent="0.25">
      <c r="I5" s="44" t="s">
        <v>48</v>
      </c>
      <c r="J5" s="45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57" si="0">P11</f>
        <v> KVB 16.3 </v>
      </c>
      <c r="B11" s="3" t="str">
        <f t="shared" ref="B11:B57" si="1">IF(H11=INT(H11),"I","II")</f>
        <v>I</v>
      </c>
      <c r="C11" s="8">
        <f t="shared" ref="C11:C57" si="2">1*G11</f>
        <v>26572.420999999998</v>
      </c>
      <c r="D11" s="10" t="str">
        <f t="shared" ref="D11:D57" si="3">VLOOKUP(F11,I$1:J$5,2,FALSE)</f>
        <v>vis</v>
      </c>
      <c r="E11" s="46">
        <f>VLOOKUP(C11,Active!C$21:E$973,3,FALSE)</f>
        <v>-1.0056490562962508</v>
      </c>
      <c r="F11" s="3" t="s">
        <v>48</v>
      </c>
      <c r="G11" s="10" t="str">
        <f t="shared" ref="G11:G57" si="4">MID(I11,3,LEN(I11)-3)</f>
        <v>26572.421</v>
      </c>
      <c r="H11" s="8">
        <f t="shared" ref="H11:H57" si="5">1*K11</f>
        <v>-1</v>
      </c>
      <c r="I11" s="47" t="s">
        <v>53</v>
      </c>
      <c r="J11" s="48" t="s">
        <v>54</v>
      </c>
      <c r="K11" s="47">
        <v>-1</v>
      </c>
      <c r="L11" s="47" t="s">
        <v>55</v>
      </c>
      <c r="M11" s="48" t="s">
        <v>56</v>
      </c>
      <c r="N11" s="48"/>
      <c r="O11" s="49" t="s">
        <v>57</v>
      </c>
      <c r="P11" s="49" t="s">
        <v>58</v>
      </c>
    </row>
    <row r="12" spans="1:16" ht="12.75" customHeight="1" thickBot="1" x14ac:dyDescent="0.25">
      <c r="A12" s="8" t="str">
        <f t="shared" si="0"/>
        <v> KVB 11.5 </v>
      </c>
      <c r="B12" s="3" t="str">
        <f t="shared" si="1"/>
        <v>I</v>
      </c>
      <c r="C12" s="8">
        <f t="shared" si="2"/>
        <v>26620.359</v>
      </c>
      <c r="D12" s="10" t="str">
        <f t="shared" si="3"/>
        <v>vis</v>
      </c>
      <c r="E12" s="46">
        <f>VLOOKUP(C12,Active!C$21:E$973,3,FALSE)</f>
        <v>-3.782756898316877E-3</v>
      </c>
      <c r="F12" s="3" t="s">
        <v>48</v>
      </c>
      <c r="G12" s="10" t="str">
        <f t="shared" si="4"/>
        <v>26620.359</v>
      </c>
      <c r="H12" s="8">
        <f t="shared" si="5"/>
        <v>0</v>
      </c>
      <c r="I12" s="47" t="s">
        <v>59</v>
      </c>
      <c r="J12" s="48" t="s">
        <v>60</v>
      </c>
      <c r="K12" s="47">
        <v>0</v>
      </c>
      <c r="L12" s="47" t="s">
        <v>61</v>
      </c>
      <c r="M12" s="48" t="s">
        <v>56</v>
      </c>
      <c r="N12" s="48"/>
      <c r="O12" s="49" t="s">
        <v>62</v>
      </c>
      <c r="P12" s="49" t="s">
        <v>63</v>
      </c>
    </row>
    <row r="13" spans="1:16" ht="12.75" customHeight="1" thickBot="1" x14ac:dyDescent="0.25">
      <c r="A13" s="8" t="str">
        <f t="shared" si="0"/>
        <v> KVB 11.5 </v>
      </c>
      <c r="B13" s="3" t="str">
        <f t="shared" si="1"/>
        <v>I</v>
      </c>
      <c r="C13" s="8">
        <f t="shared" si="2"/>
        <v>26811.552</v>
      </c>
      <c r="D13" s="10" t="str">
        <f t="shared" si="3"/>
        <v>vis</v>
      </c>
      <c r="E13" s="46">
        <f>VLOOKUP(C13,Active!C$21:E$973,3,FALSE)</f>
        <v>3.9919997826481972</v>
      </c>
      <c r="F13" s="3" t="s">
        <v>48</v>
      </c>
      <c r="G13" s="10" t="str">
        <f t="shared" si="4"/>
        <v>26811.552</v>
      </c>
      <c r="H13" s="8">
        <f t="shared" si="5"/>
        <v>4</v>
      </c>
      <c r="I13" s="47" t="s">
        <v>64</v>
      </c>
      <c r="J13" s="48" t="s">
        <v>65</v>
      </c>
      <c r="K13" s="47">
        <v>4</v>
      </c>
      <c r="L13" s="47" t="s">
        <v>66</v>
      </c>
      <c r="M13" s="48" t="s">
        <v>56</v>
      </c>
      <c r="N13" s="48"/>
      <c r="O13" s="49" t="s">
        <v>62</v>
      </c>
      <c r="P13" s="49" t="s">
        <v>63</v>
      </c>
    </row>
    <row r="14" spans="1:16" ht="12.75" customHeight="1" thickBot="1" x14ac:dyDescent="0.25">
      <c r="A14" s="8" t="str">
        <f t="shared" si="0"/>
        <v> KVB 16.3 </v>
      </c>
      <c r="B14" s="3" t="str">
        <f t="shared" si="1"/>
        <v>I</v>
      </c>
      <c r="C14" s="8">
        <f t="shared" si="2"/>
        <v>26811.593000000001</v>
      </c>
      <c r="D14" s="10" t="str">
        <f t="shared" si="3"/>
        <v>vis</v>
      </c>
      <c r="E14" s="46">
        <f>VLOOKUP(C14,Active!C$21:E$973,3,FALSE)</f>
        <v>3.9928566502329192</v>
      </c>
      <c r="F14" s="3" t="s">
        <v>48</v>
      </c>
      <c r="G14" s="10" t="str">
        <f t="shared" si="4"/>
        <v>26811.593</v>
      </c>
      <c r="H14" s="8">
        <f t="shared" si="5"/>
        <v>4</v>
      </c>
      <c r="I14" s="47" t="s">
        <v>67</v>
      </c>
      <c r="J14" s="48" t="s">
        <v>68</v>
      </c>
      <c r="K14" s="47">
        <v>4</v>
      </c>
      <c r="L14" s="47" t="s">
        <v>69</v>
      </c>
      <c r="M14" s="48" t="s">
        <v>56</v>
      </c>
      <c r="N14" s="48"/>
      <c r="O14" s="49" t="s">
        <v>57</v>
      </c>
      <c r="P14" s="49" t="s">
        <v>58</v>
      </c>
    </row>
    <row r="15" spans="1:16" ht="12.75" customHeight="1" thickBot="1" x14ac:dyDescent="0.25">
      <c r="A15" s="8" t="str">
        <f t="shared" si="0"/>
        <v> KVB 11.5 </v>
      </c>
      <c r="B15" s="3" t="str">
        <f t="shared" si="1"/>
        <v>I</v>
      </c>
      <c r="C15" s="8">
        <f t="shared" si="2"/>
        <v>26860.467000000001</v>
      </c>
      <c r="D15" s="10" t="str">
        <f t="shared" si="3"/>
        <v>vis</v>
      </c>
      <c r="E15" s="46">
        <f>VLOOKUP(C15,Active!C$21:E$973,3,FALSE)</f>
        <v>5.0142846096132114</v>
      </c>
      <c r="F15" s="3" t="s">
        <v>48</v>
      </c>
      <c r="G15" s="10" t="str">
        <f t="shared" si="4"/>
        <v>26860.467</v>
      </c>
      <c r="H15" s="8">
        <f t="shared" si="5"/>
        <v>5</v>
      </c>
      <c r="I15" s="47" t="s">
        <v>70</v>
      </c>
      <c r="J15" s="48" t="s">
        <v>71</v>
      </c>
      <c r="K15" s="47">
        <v>5</v>
      </c>
      <c r="L15" s="47" t="s">
        <v>72</v>
      </c>
      <c r="M15" s="48" t="s">
        <v>56</v>
      </c>
      <c r="N15" s="48"/>
      <c r="O15" s="49" t="s">
        <v>62</v>
      </c>
      <c r="P15" s="49" t="s">
        <v>63</v>
      </c>
    </row>
    <row r="16" spans="1:16" ht="12.75" customHeight="1" thickBot="1" x14ac:dyDescent="0.25">
      <c r="A16" s="8" t="str">
        <f t="shared" si="0"/>
        <v> KVB 11.5 </v>
      </c>
      <c r="B16" s="3" t="str">
        <f t="shared" si="1"/>
        <v>I</v>
      </c>
      <c r="C16" s="8">
        <f t="shared" si="2"/>
        <v>26955.432000000001</v>
      </c>
      <c r="D16" s="10" t="str">
        <f t="shared" si="3"/>
        <v>vis</v>
      </c>
      <c r="E16" s="46">
        <f>VLOOKUP(C16,Active!C$21:E$973,3,FALSE)</f>
        <v>6.9989780286611722</v>
      </c>
      <c r="F16" s="3" t="s">
        <v>48</v>
      </c>
      <c r="G16" s="10" t="str">
        <f t="shared" si="4"/>
        <v>26955.432</v>
      </c>
      <c r="H16" s="8">
        <f t="shared" si="5"/>
        <v>7</v>
      </c>
      <c r="I16" s="47" t="s">
        <v>73</v>
      </c>
      <c r="J16" s="48" t="s">
        <v>74</v>
      </c>
      <c r="K16" s="47">
        <v>7</v>
      </c>
      <c r="L16" s="47" t="s">
        <v>75</v>
      </c>
      <c r="M16" s="48" t="s">
        <v>56</v>
      </c>
      <c r="N16" s="48"/>
      <c r="O16" s="49" t="s">
        <v>62</v>
      </c>
      <c r="P16" s="49" t="s">
        <v>63</v>
      </c>
    </row>
    <row r="17" spans="1:16" ht="12.75" customHeight="1" thickBot="1" x14ac:dyDescent="0.25">
      <c r="A17" s="8" t="str">
        <f t="shared" si="0"/>
        <v> KVB 11.5 </v>
      </c>
      <c r="B17" s="3" t="str">
        <f t="shared" si="1"/>
        <v>I</v>
      </c>
      <c r="C17" s="8">
        <f t="shared" si="2"/>
        <v>27003.255000000001</v>
      </c>
      <c r="D17" s="10" t="str">
        <f t="shared" si="3"/>
        <v>vis</v>
      </c>
      <c r="E17" s="46">
        <f>VLOOKUP(C17,Active!C$21:E$973,3,FALSE)</f>
        <v>7.9984409189800383</v>
      </c>
      <c r="F17" s="3" t="s">
        <v>48</v>
      </c>
      <c r="G17" s="10" t="str">
        <f t="shared" si="4"/>
        <v>27003.255</v>
      </c>
      <c r="H17" s="8">
        <f t="shared" si="5"/>
        <v>8</v>
      </c>
      <c r="I17" s="47" t="s">
        <v>76</v>
      </c>
      <c r="J17" s="48" t="s">
        <v>77</v>
      </c>
      <c r="K17" s="47">
        <v>8</v>
      </c>
      <c r="L17" s="47" t="s">
        <v>78</v>
      </c>
      <c r="M17" s="48" t="s">
        <v>56</v>
      </c>
      <c r="N17" s="48"/>
      <c r="O17" s="49" t="s">
        <v>62</v>
      </c>
      <c r="P17" s="49" t="s">
        <v>63</v>
      </c>
    </row>
    <row r="18" spans="1:16" ht="12.75" customHeight="1" thickBot="1" x14ac:dyDescent="0.25">
      <c r="A18" s="8" t="str">
        <f t="shared" si="0"/>
        <v> KVB 16.3 </v>
      </c>
      <c r="B18" s="3" t="str">
        <f t="shared" si="1"/>
        <v>II</v>
      </c>
      <c r="C18" s="8">
        <f t="shared" si="2"/>
        <v>27314.415000000001</v>
      </c>
      <c r="D18" s="10" t="str">
        <f t="shared" si="3"/>
        <v>vis</v>
      </c>
      <c r="E18" s="46">
        <f>VLOOKUP(C18,Active!C$21:E$973,3,FALSE)</f>
        <v>14.501438910566012</v>
      </c>
      <c r="F18" s="3" t="s">
        <v>48</v>
      </c>
      <c r="G18" s="10" t="str">
        <f t="shared" si="4"/>
        <v>27314.415</v>
      </c>
      <c r="H18" s="8">
        <f t="shared" si="5"/>
        <v>14.5</v>
      </c>
      <c r="I18" s="47" t="s">
        <v>79</v>
      </c>
      <c r="J18" s="48" t="s">
        <v>80</v>
      </c>
      <c r="K18" s="47">
        <v>14.5</v>
      </c>
      <c r="L18" s="47" t="s">
        <v>81</v>
      </c>
      <c r="M18" s="48" t="s">
        <v>56</v>
      </c>
      <c r="N18" s="48"/>
      <c r="O18" s="49" t="s">
        <v>57</v>
      </c>
      <c r="P18" s="49" t="s">
        <v>58</v>
      </c>
    </row>
    <row r="19" spans="1:16" ht="12.75" customHeight="1" thickBot="1" x14ac:dyDescent="0.25">
      <c r="A19" s="8" t="str">
        <f t="shared" si="0"/>
        <v> KVB 16.3 </v>
      </c>
      <c r="B19" s="3" t="str">
        <f t="shared" si="1"/>
        <v>I</v>
      </c>
      <c r="C19" s="8">
        <f t="shared" si="2"/>
        <v>27386.294000000002</v>
      </c>
      <c r="D19" s="10" t="str">
        <f t="shared" si="3"/>
        <v>vis</v>
      </c>
      <c r="E19" s="46">
        <f>VLOOKUP(C19,Active!C$21:E$973,3,FALSE)</f>
        <v>16.00365318180015</v>
      </c>
      <c r="F19" s="3" t="s">
        <v>48</v>
      </c>
      <c r="G19" s="10" t="str">
        <f t="shared" si="4"/>
        <v>27386.294</v>
      </c>
      <c r="H19" s="8">
        <f t="shared" si="5"/>
        <v>16</v>
      </c>
      <c r="I19" s="47" t="s">
        <v>82</v>
      </c>
      <c r="J19" s="48" t="s">
        <v>83</v>
      </c>
      <c r="K19" s="47">
        <v>16</v>
      </c>
      <c r="L19" s="47" t="s">
        <v>84</v>
      </c>
      <c r="M19" s="48" t="s">
        <v>56</v>
      </c>
      <c r="N19" s="48"/>
      <c r="O19" s="49" t="s">
        <v>57</v>
      </c>
      <c r="P19" s="49" t="s">
        <v>58</v>
      </c>
    </row>
    <row r="20" spans="1:16" ht="12.75" customHeight="1" thickBot="1" x14ac:dyDescent="0.25">
      <c r="A20" s="8" t="str">
        <f t="shared" si="0"/>
        <v> AC 173.18 </v>
      </c>
      <c r="B20" s="3" t="str">
        <f t="shared" si="1"/>
        <v>I</v>
      </c>
      <c r="C20" s="8">
        <f t="shared" si="2"/>
        <v>31262.240000000002</v>
      </c>
      <c r="D20" s="10" t="str">
        <f t="shared" si="3"/>
        <v>vis</v>
      </c>
      <c r="E20" s="46">
        <f>VLOOKUP(C20,Active!C$21:E$973,3,FALSE)</f>
        <v>97.00786019264892</v>
      </c>
      <c r="F20" s="3" t="s">
        <v>48</v>
      </c>
      <c r="G20" s="10" t="str">
        <f t="shared" si="4"/>
        <v>31262.24</v>
      </c>
      <c r="H20" s="8">
        <f t="shared" si="5"/>
        <v>97</v>
      </c>
      <c r="I20" s="47" t="s">
        <v>85</v>
      </c>
      <c r="J20" s="48" t="s">
        <v>86</v>
      </c>
      <c r="K20" s="47">
        <v>97</v>
      </c>
      <c r="L20" s="47" t="s">
        <v>87</v>
      </c>
      <c r="M20" s="48" t="s">
        <v>56</v>
      </c>
      <c r="N20" s="48"/>
      <c r="O20" s="49" t="s">
        <v>88</v>
      </c>
      <c r="P20" s="49" t="s">
        <v>89</v>
      </c>
    </row>
    <row r="21" spans="1:16" ht="12.75" customHeight="1" thickBot="1" x14ac:dyDescent="0.25">
      <c r="A21" s="8" t="str">
        <f t="shared" si="0"/>
        <v> AC 173.18 </v>
      </c>
      <c r="B21" s="3" t="str">
        <f t="shared" si="1"/>
        <v>I</v>
      </c>
      <c r="C21" s="8">
        <f t="shared" si="2"/>
        <v>31310.17</v>
      </c>
      <c r="D21" s="10" t="str">
        <f t="shared" si="3"/>
        <v>vis</v>
      </c>
      <c r="E21" s="46">
        <f>VLOOKUP(C21,Active!C$21:E$973,3,FALSE)</f>
        <v>98.009559298371684</v>
      </c>
      <c r="F21" s="3" t="s">
        <v>48</v>
      </c>
      <c r="G21" s="10" t="str">
        <f t="shared" si="4"/>
        <v>31310.17</v>
      </c>
      <c r="H21" s="8">
        <f t="shared" si="5"/>
        <v>98</v>
      </c>
      <c r="I21" s="47" t="s">
        <v>90</v>
      </c>
      <c r="J21" s="48" t="s">
        <v>91</v>
      </c>
      <c r="K21" s="47">
        <v>98</v>
      </c>
      <c r="L21" s="47" t="s">
        <v>92</v>
      </c>
      <c r="M21" s="48" t="s">
        <v>56</v>
      </c>
      <c r="N21" s="48"/>
      <c r="O21" s="49" t="s">
        <v>88</v>
      </c>
      <c r="P21" s="49" t="s">
        <v>89</v>
      </c>
    </row>
    <row r="22" spans="1:16" ht="12.75" customHeight="1" thickBot="1" x14ac:dyDescent="0.25">
      <c r="A22" s="8" t="str">
        <f t="shared" si="0"/>
        <v> AC 173.18 </v>
      </c>
      <c r="B22" s="3" t="str">
        <f t="shared" si="1"/>
        <v>I</v>
      </c>
      <c r="C22" s="8">
        <f t="shared" si="2"/>
        <v>31740.25</v>
      </c>
      <c r="D22" s="10" t="str">
        <f t="shared" si="3"/>
        <v>vis</v>
      </c>
      <c r="E22" s="46">
        <f>VLOOKUP(C22,Active!C$21:E$973,3,FALSE)</f>
        <v>106.99789126977325</v>
      </c>
      <c r="F22" s="3" t="s">
        <v>48</v>
      </c>
      <c r="G22" s="10" t="str">
        <f t="shared" si="4"/>
        <v>31740.25</v>
      </c>
      <c r="H22" s="8">
        <f t="shared" si="5"/>
        <v>107</v>
      </c>
      <c r="I22" s="47" t="s">
        <v>93</v>
      </c>
      <c r="J22" s="48" t="s">
        <v>94</v>
      </c>
      <c r="K22" s="47">
        <v>107</v>
      </c>
      <c r="L22" s="47" t="s">
        <v>95</v>
      </c>
      <c r="M22" s="48" t="s">
        <v>56</v>
      </c>
      <c r="N22" s="48"/>
      <c r="O22" s="49" t="s">
        <v>88</v>
      </c>
      <c r="P22" s="49" t="s">
        <v>89</v>
      </c>
    </row>
    <row r="23" spans="1:16" ht="12.75" customHeight="1" thickBot="1" x14ac:dyDescent="0.25">
      <c r="A23" s="8" t="str">
        <f t="shared" si="0"/>
        <v> AC 173.18 </v>
      </c>
      <c r="B23" s="3" t="str">
        <f t="shared" si="1"/>
        <v>I</v>
      </c>
      <c r="C23" s="8">
        <f t="shared" si="2"/>
        <v>32027.27</v>
      </c>
      <c r="D23" s="10" t="str">
        <f t="shared" si="3"/>
        <v>vis</v>
      </c>
      <c r="E23" s="46">
        <f>VLOOKUP(C23,Active!C$21:E$973,3,FALSE)</f>
        <v>112.99638234685581</v>
      </c>
      <c r="F23" s="3" t="s">
        <v>48</v>
      </c>
      <c r="G23" s="10" t="str">
        <f t="shared" si="4"/>
        <v>32027.27</v>
      </c>
      <c r="H23" s="8">
        <f t="shared" si="5"/>
        <v>113</v>
      </c>
      <c r="I23" s="47" t="s">
        <v>96</v>
      </c>
      <c r="J23" s="48" t="s">
        <v>97</v>
      </c>
      <c r="K23" s="47">
        <v>113</v>
      </c>
      <c r="L23" s="47" t="s">
        <v>98</v>
      </c>
      <c r="M23" s="48" t="s">
        <v>56</v>
      </c>
      <c r="N23" s="48"/>
      <c r="O23" s="49" t="s">
        <v>88</v>
      </c>
      <c r="P23" s="49" t="s">
        <v>89</v>
      </c>
    </row>
    <row r="24" spans="1:16" ht="12.75" customHeight="1" thickBot="1" x14ac:dyDescent="0.25">
      <c r="A24" s="8" t="str">
        <f t="shared" si="0"/>
        <v> AC 173.18 </v>
      </c>
      <c r="B24" s="3" t="str">
        <f t="shared" si="1"/>
        <v>I</v>
      </c>
      <c r="C24" s="8">
        <f t="shared" si="2"/>
        <v>32745.31</v>
      </c>
      <c r="D24" s="10" t="str">
        <f t="shared" si="3"/>
        <v>vis</v>
      </c>
      <c r="E24" s="46">
        <f>VLOOKUP(C24,Active!C$21:E$973,3,FALSE)</f>
        <v>128.00285065215982</v>
      </c>
      <c r="F24" s="3" t="s">
        <v>48</v>
      </c>
      <c r="G24" s="10" t="str">
        <f t="shared" si="4"/>
        <v>32745.31</v>
      </c>
      <c r="H24" s="8">
        <f t="shared" si="5"/>
        <v>128</v>
      </c>
      <c r="I24" s="47" t="s">
        <v>99</v>
      </c>
      <c r="J24" s="48" t="s">
        <v>100</v>
      </c>
      <c r="K24" s="47">
        <v>128</v>
      </c>
      <c r="L24" s="47" t="s">
        <v>101</v>
      </c>
      <c r="M24" s="48" t="s">
        <v>56</v>
      </c>
      <c r="N24" s="48"/>
      <c r="O24" s="49" t="s">
        <v>88</v>
      </c>
      <c r="P24" s="49" t="s">
        <v>89</v>
      </c>
    </row>
    <row r="25" spans="1:16" ht="12.75" customHeight="1" thickBot="1" x14ac:dyDescent="0.25">
      <c r="A25" s="8" t="str">
        <f t="shared" si="0"/>
        <v> AC 173.18 </v>
      </c>
      <c r="B25" s="3" t="str">
        <f t="shared" si="1"/>
        <v>I</v>
      </c>
      <c r="C25" s="8">
        <f t="shared" si="2"/>
        <v>33415.35</v>
      </c>
      <c r="D25" s="10" t="str">
        <f t="shared" si="3"/>
        <v>vis</v>
      </c>
      <c r="E25" s="46">
        <f>VLOOKUP(C25,Active!C$21:E$973,3,FALSE)</f>
        <v>142.00615690708415</v>
      </c>
      <c r="F25" s="3" t="s">
        <v>48</v>
      </c>
      <c r="G25" s="10" t="str">
        <f t="shared" si="4"/>
        <v>33415.35</v>
      </c>
      <c r="H25" s="8">
        <f t="shared" si="5"/>
        <v>142</v>
      </c>
      <c r="I25" s="47" t="s">
        <v>102</v>
      </c>
      <c r="J25" s="48" t="s">
        <v>103</v>
      </c>
      <c r="K25" s="47">
        <v>142</v>
      </c>
      <c r="L25" s="47" t="s">
        <v>104</v>
      </c>
      <c r="M25" s="48" t="s">
        <v>56</v>
      </c>
      <c r="N25" s="48"/>
      <c r="O25" s="49" t="s">
        <v>88</v>
      </c>
      <c r="P25" s="49" t="s">
        <v>89</v>
      </c>
    </row>
    <row r="26" spans="1:16" ht="12.75" customHeight="1" thickBot="1" x14ac:dyDescent="0.25">
      <c r="A26" s="8" t="str">
        <f t="shared" si="0"/>
        <v> AC 170.12 </v>
      </c>
      <c r="B26" s="3" t="str">
        <f t="shared" si="1"/>
        <v>I</v>
      </c>
      <c r="C26" s="8">
        <f t="shared" si="2"/>
        <v>33941.199999999997</v>
      </c>
      <c r="D26" s="10" t="str">
        <f t="shared" si="3"/>
        <v>vis</v>
      </c>
      <c r="E26" s="46">
        <f>VLOOKUP(C26,Active!C$21:E$973,3,FALSE)</f>
        <v>152.99600616108685</v>
      </c>
      <c r="F26" s="3" t="s">
        <v>48</v>
      </c>
      <c r="G26" s="10" t="str">
        <f t="shared" si="4"/>
        <v>33941.2</v>
      </c>
      <c r="H26" s="8">
        <f t="shared" si="5"/>
        <v>153</v>
      </c>
      <c r="I26" s="47" t="s">
        <v>105</v>
      </c>
      <c r="J26" s="48" t="s">
        <v>106</v>
      </c>
      <c r="K26" s="47">
        <v>153</v>
      </c>
      <c r="L26" s="47" t="s">
        <v>107</v>
      </c>
      <c r="M26" s="48" t="s">
        <v>56</v>
      </c>
      <c r="N26" s="48"/>
      <c r="O26" s="49" t="s">
        <v>108</v>
      </c>
      <c r="P26" s="49" t="s">
        <v>109</v>
      </c>
    </row>
    <row r="27" spans="1:16" ht="12.75" customHeight="1" thickBot="1" x14ac:dyDescent="0.25">
      <c r="A27" s="8" t="str">
        <f t="shared" si="0"/>
        <v> AC 170.12 </v>
      </c>
      <c r="B27" s="3" t="str">
        <f t="shared" si="1"/>
        <v>I</v>
      </c>
      <c r="C27" s="8">
        <f t="shared" si="2"/>
        <v>34276.400000000001</v>
      </c>
      <c r="D27" s="10" t="str">
        <f t="shared" si="3"/>
        <v>vis</v>
      </c>
      <c r="E27" s="46">
        <f>VLOOKUP(C27,Active!C$21:E$973,3,FALSE)</f>
        <v>160.00142114623804</v>
      </c>
      <c r="F27" s="3" t="s">
        <v>48</v>
      </c>
      <c r="G27" s="10" t="str">
        <f t="shared" si="4"/>
        <v>34276.4</v>
      </c>
      <c r="H27" s="8">
        <f t="shared" si="5"/>
        <v>160</v>
      </c>
      <c r="I27" s="47" t="s">
        <v>110</v>
      </c>
      <c r="J27" s="48" t="s">
        <v>111</v>
      </c>
      <c r="K27" s="47">
        <v>160</v>
      </c>
      <c r="L27" s="47" t="s">
        <v>112</v>
      </c>
      <c r="M27" s="48" t="s">
        <v>56</v>
      </c>
      <c r="N27" s="48"/>
      <c r="O27" s="49" t="s">
        <v>108</v>
      </c>
      <c r="P27" s="49" t="s">
        <v>109</v>
      </c>
    </row>
    <row r="28" spans="1:16" ht="12.75" customHeight="1" thickBot="1" x14ac:dyDescent="0.25">
      <c r="A28" s="8" t="str">
        <f t="shared" si="0"/>
        <v> AC 170.12 </v>
      </c>
      <c r="B28" s="3" t="str">
        <f t="shared" si="1"/>
        <v>I</v>
      </c>
      <c r="C28" s="8">
        <f t="shared" si="2"/>
        <v>34611.4</v>
      </c>
      <c r="D28" s="10" t="str">
        <f t="shared" si="3"/>
        <v>vis</v>
      </c>
      <c r="E28" s="46">
        <f>VLOOKUP(C28,Active!C$21:E$973,3,FALSE)</f>
        <v>167.00265628951257</v>
      </c>
      <c r="F28" s="3" t="s">
        <v>48</v>
      </c>
      <c r="G28" s="10" t="str">
        <f t="shared" si="4"/>
        <v>34611.4</v>
      </c>
      <c r="H28" s="8">
        <f t="shared" si="5"/>
        <v>167</v>
      </c>
      <c r="I28" s="47" t="s">
        <v>113</v>
      </c>
      <c r="J28" s="48" t="s">
        <v>114</v>
      </c>
      <c r="K28" s="47">
        <v>167</v>
      </c>
      <c r="L28" s="47" t="s">
        <v>112</v>
      </c>
      <c r="M28" s="48" t="s">
        <v>56</v>
      </c>
      <c r="N28" s="48"/>
      <c r="O28" s="49" t="s">
        <v>108</v>
      </c>
      <c r="P28" s="49" t="s">
        <v>109</v>
      </c>
    </row>
    <row r="29" spans="1:16" ht="12.75" customHeight="1" thickBot="1" x14ac:dyDescent="0.25">
      <c r="A29" s="8" t="str">
        <f t="shared" si="0"/>
        <v> MVS 7.170 </v>
      </c>
      <c r="B29" s="3" t="str">
        <f t="shared" si="1"/>
        <v>II</v>
      </c>
      <c r="C29" s="8">
        <f t="shared" si="2"/>
        <v>36022.49</v>
      </c>
      <c r="D29" s="10" t="str">
        <f t="shared" si="3"/>
        <v>vis</v>
      </c>
      <c r="E29" s="46">
        <f>VLOOKUP(C29,Active!C$21:E$973,3,FALSE)</f>
        <v>196.49332165764162</v>
      </c>
      <c r="F29" s="3" t="s">
        <v>48</v>
      </c>
      <c r="G29" s="10" t="str">
        <f t="shared" si="4"/>
        <v>36022.49</v>
      </c>
      <c r="H29" s="8">
        <f t="shared" si="5"/>
        <v>196.5</v>
      </c>
      <c r="I29" s="47" t="s">
        <v>115</v>
      </c>
      <c r="J29" s="48" t="s">
        <v>116</v>
      </c>
      <c r="K29" s="47">
        <v>196.5</v>
      </c>
      <c r="L29" s="47" t="s">
        <v>117</v>
      </c>
      <c r="M29" s="48" t="s">
        <v>56</v>
      </c>
      <c r="N29" s="48"/>
      <c r="O29" s="49" t="s">
        <v>118</v>
      </c>
      <c r="P29" s="49" t="s">
        <v>119</v>
      </c>
    </row>
    <row r="30" spans="1:16" ht="12.75" customHeight="1" thickBot="1" x14ac:dyDescent="0.25">
      <c r="A30" s="8" t="str">
        <f t="shared" si="0"/>
        <v> MVS 7.170 </v>
      </c>
      <c r="B30" s="3" t="str">
        <f t="shared" si="1"/>
        <v>II</v>
      </c>
      <c r="C30" s="8">
        <f t="shared" si="2"/>
        <v>36070.42</v>
      </c>
      <c r="D30" s="10" t="str">
        <f t="shared" si="3"/>
        <v>vis</v>
      </c>
      <c r="E30" s="46">
        <f>VLOOKUP(C30,Active!C$21:E$973,3,FALSE)</f>
        <v>197.49502076336447</v>
      </c>
      <c r="F30" s="3" t="s">
        <v>48</v>
      </c>
      <c r="G30" s="10" t="str">
        <f t="shared" si="4"/>
        <v>36070.42</v>
      </c>
      <c r="H30" s="8">
        <f t="shared" si="5"/>
        <v>197.5</v>
      </c>
      <c r="I30" s="47" t="s">
        <v>120</v>
      </c>
      <c r="J30" s="48" t="s">
        <v>121</v>
      </c>
      <c r="K30" s="47">
        <v>197.5</v>
      </c>
      <c r="L30" s="47" t="s">
        <v>122</v>
      </c>
      <c r="M30" s="48" t="s">
        <v>56</v>
      </c>
      <c r="N30" s="48"/>
      <c r="O30" s="49" t="s">
        <v>118</v>
      </c>
      <c r="P30" s="49" t="s">
        <v>119</v>
      </c>
    </row>
    <row r="31" spans="1:16" ht="12.75" customHeight="1" thickBot="1" x14ac:dyDescent="0.25">
      <c r="A31" s="8" t="str">
        <f t="shared" si="0"/>
        <v> MVS 7.170 </v>
      </c>
      <c r="B31" s="3" t="str">
        <f t="shared" si="1"/>
        <v>II</v>
      </c>
      <c r="C31" s="8">
        <f t="shared" si="2"/>
        <v>36453.339999999997</v>
      </c>
      <c r="D31" s="10" t="str">
        <f t="shared" si="3"/>
        <v>vis</v>
      </c>
      <c r="E31" s="46">
        <f>VLOOKUP(C31,Active!C$21:E$973,3,FALSE)</f>
        <v>205.49774602026795</v>
      </c>
      <c r="F31" s="3" t="s">
        <v>48</v>
      </c>
      <c r="G31" s="10" t="str">
        <f t="shared" si="4"/>
        <v>36453.34</v>
      </c>
      <c r="H31" s="8">
        <f t="shared" si="5"/>
        <v>205.5</v>
      </c>
      <c r="I31" s="47" t="s">
        <v>123</v>
      </c>
      <c r="J31" s="48" t="s">
        <v>124</v>
      </c>
      <c r="K31" s="47">
        <v>205.5</v>
      </c>
      <c r="L31" s="47" t="s">
        <v>125</v>
      </c>
      <c r="M31" s="48" t="s">
        <v>56</v>
      </c>
      <c r="N31" s="48"/>
      <c r="O31" s="49" t="s">
        <v>118</v>
      </c>
      <c r="P31" s="49" t="s">
        <v>119</v>
      </c>
    </row>
    <row r="32" spans="1:16" ht="12.75" customHeight="1" thickBot="1" x14ac:dyDescent="0.25">
      <c r="A32" s="8" t="str">
        <f t="shared" si="0"/>
        <v> MVS 7.170 </v>
      </c>
      <c r="B32" s="3" t="str">
        <f t="shared" si="1"/>
        <v>II</v>
      </c>
      <c r="C32" s="8">
        <f t="shared" si="2"/>
        <v>36454.42</v>
      </c>
      <c r="D32" s="10" t="str">
        <f t="shared" si="3"/>
        <v>vis</v>
      </c>
      <c r="E32" s="46">
        <f>VLOOKUP(C32,Active!C$21:E$973,3,FALSE)</f>
        <v>205.52031716640153</v>
      </c>
      <c r="F32" s="3" t="s">
        <v>48</v>
      </c>
      <c r="G32" s="10" t="str">
        <f t="shared" si="4"/>
        <v>36454.42</v>
      </c>
      <c r="H32" s="8">
        <f t="shared" si="5"/>
        <v>205.5</v>
      </c>
      <c r="I32" s="47" t="s">
        <v>126</v>
      </c>
      <c r="J32" s="48" t="s">
        <v>127</v>
      </c>
      <c r="K32" s="47">
        <v>205.5</v>
      </c>
      <c r="L32" s="47" t="s">
        <v>128</v>
      </c>
      <c r="M32" s="48" t="s">
        <v>56</v>
      </c>
      <c r="N32" s="48"/>
      <c r="O32" s="49" t="s">
        <v>118</v>
      </c>
      <c r="P32" s="49" t="s">
        <v>119</v>
      </c>
    </row>
    <row r="33" spans="1:16" ht="12.75" customHeight="1" thickBot="1" x14ac:dyDescent="0.25">
      <c r="A33" s="8" t="str">
        <f t="shared" si="0"/>
        <v> MVS 7.170 </v>
      </c>
      <c r="B33" s="3" t="str">
        <f t="shared" si="1"/>
        <v>I</v>
      </c>
      <c r="C33" s="8">
        <f t="shared" si="2"/>
        <v>36764.51</v>
      </c>
      <c r="D33" s="10" t="str">
        <f t="shared" si="3"/>
        <v>vis</v>
      </c>
      <c r="E33" s="46">
        <f>VLOOKUP(C33,Active!C$21:E$973,3,FALSE)</f>
        <v>212.00095300394787</v>
      </c>
      <c r="F33" s="3" t="s">
        <v>48</v>
      </c>
      <c r="G33" s="10" t="str">
        <f t="shared" si="4"/>
        <v>36764.51</v>
      </c>
      <c r="H33" s="8">
        <f t="shared" si="5"/>
        <v>212</v>
      </c>
      <c r="I33" s="47" t="s">
        <v>129</v>
      </c>
      <c r="J33" s="48" t="s">
        <v>130</v>
      </c>
      <c r="K33" s="47">
        <v>212</v>
      </c>
      <c r="L33" s="47" t="s">
        <v>131</v>
      </c>
      <c r="M33" s="48" t="s">
        <v>56</v>
      </c>
      <c r="N33" s="48"/>
      <c r="O33" s="49" t="s">
        <v>118</v>
      </c>
      <c r="P33" s="49" t="s">
        <v>119</v>
      </c>
    </row>
    <row r="34" spans="1:16" ht="12.75" customHeight="1" thickBot="1" x14ac:dyDescent="0.25">
      <c r="A34" s="8" t="str">
        <f t="shared" si="0"/>
        <v> MVS 7.170 </v>
      </c>
      <c r="B34" s="3" t="str">
        <f t="shared" si="1"/>
        <v>I</v>
      </c>
      <c r="C34" s="8">
        <f t="shared" si="2"/>
        <v>36863.4</v>
      </c>
      <c r="D34" s="10" t="str">
        <f t="shared" si="3"/>
        <v>vis</v>
      </c>
      <c r="E34" s="46">
        <f>VLOOKUP(C34,Active!C$21:E$973,3,FALSE)</f>
        <v>214.06767581982373</v>
      </c>
      <c r="F34" s="3" t="s">
        <v>48</v>
      </c>
      <c r="G34" s="10" t="str">
        <f t="shared" si="4"/>
        <v>36863.40</v>
      </c>
      <c r="H34" s="8">
        <f t="shared" si="5"/>
        <v>214</v>
      </c>
      <c r="I34" s="47" t="s">
        <v>132</v>
      </c>
      <c r="J34" s="48" t="s">
        <v>133</v>
      </c>
      <c r="K34" s="47">
        <v>214</v>
      </c>
      <c r="L34" s="47" t="s">
        <v>134</v>
      </c>
      <c r="M34" s="48" t="s">
        <v>56</v>
      </c>
      <c r="N34" s="48"/>
      <c r="O34" s="49" t="s">
        <v>118</v>
      </c>
      <c r="P34" s="49" t="s">
        <v>119</v>
      </c>
    </row>
    <row r="35" spans="1:16" ht="12.75" customHeight="1" thickBot="1" x14ac:dyDescent="0.25">
      <c r="A35" s="8" t="str">
        <f t="shared" si="0"/>
        <v> MVS 7.170 </v>
      </c>
      <c r="B35" s="3" t="str">
        <f t="shared" si="1"/>
        <v>II</v>
      </c>
      <c r="C35" s="8">
        <f t="shared" si="2"/>
        <v>37171.46</v>
      </c>
      <c r="D35" s="10" t="str">
        <f t="shared" si="3"/>
        <v>vis</v>
      </c>
      <c r="E35" s="46">
        <f>VLOOKUP(C35,Active!C$21:E$973,3,FALSE)</f>
        <v>220.50588626232266</v>
      </c>
      <c r="F35" s="3" t="s">
        <v>48</v>
      </c>
      <c r="G35" s="10" t="str">
        <f t="shared" si="4"/>
        <v>37171.46</v>
      </c>
      <c r="H35" s="8">
        <f t="shared" si="5"/>
        <v>220.5</v>
      </c>
      <c r="I35" s="47" t="s">
        <v>135</v>
      </c>
      <c r="J35" s="48" t="s">
        <v>136</v>
      </c>
      <c r="K35" s="47">
        <v>220.5</v>
      </c>
      <c r="L35" s="47" t="s">
        <v>137</v>
      </c>
      <c r="M35" s="48" t="s">
        <v>56</v>
      </c>
      <c r="N35" s="48"/>
      <c r="O35" s="49" t="s">
        <v>118</v>
      </c>
      <c r="P35" s="49" t="s">
        <v>119</v>
      </c>
    </row>
    <row r="36" spans="1:16" ht="12.75" customHeight="1" thickBot="1" x14ac:dyDescent="0.25">
      <c r="A36" s="8" t="str">
        <f t="shared" si="0"/>
        <v> MVS 7.170 </v>
      </c>
      <c r="B36" s="3" t="str">
        <f t="shared" si="1"/>
        <v>I</v>
      </c>
      <c r="C36" s="8">
        <f t="shared" si="2"/>
        <v>37194.39</v>
      </c>
      <c r="D36" s="10" t="str">
        <f t="shared" si="3"/>
        <v>vis</v>
      </c>
      <c r="E36" s="46">
        <f>VLOOKUP(C36,Active!C$21:E$973,3,FALSE)</f>
        <v>220.98510513347276</v>
      </c>
      <c r="F36" s="3" t="s">
        <v>48</v>
      </c>
      <c r="G36" s="10" t="str">
        <f t="shared" si="4"/>
        <v>37194.39</v>
      </c>
      <c r="H36" s="8">
        <f t="shared" si="5"/>
        <v>221</v>
      </c>
      <c r="I36" s="47" t="s">
        <v>138</v>
      </c>
      <c r="J36" s="48" t="s">
        <v>139</v>
      </c>
      <c r="K36" s="47">
        <v>221</v>
      </c>
      <c r="L36" s="47" t="s">
        <v>140</v>
      </c>
      <c r="M36" s="48" t="s">
        <v>56</v>
      </c>
      <c r="N36" s="48"/>
      <c r="O36" s="49" t="s">
        <v>118</v>
      </c>
      <c r="P36" s="49" t="s">
        <v>119</v>
      </c>
    </row>
    <row r="37" spans="1:16" ht="12.75" customHeight="1" thickBot="1" x14ac:dyDescent="0.25">
      <c r="A37" s="8" t="str">
        <f t="shared" si="0"/>
        <v> HABZ 23 </v>
      </c>
      <c r="B37" s="3" t="str">
        <f t="shared" si="1"/>
        <v>I</v>
      </c>
      <c r="C37" s="8">
        <f t="shared" si="2"/>
        <v>37577.925999999999</v>
      </c>
      <c r="D37" s="10" t="str">
        <f t="shared" si="3"/>
        <v>vis</v>
      </c>
      <c r="E37" s="46">
        <f>VLOOKUP(C37,Active!C$21:E$973,3,FALSE)</f>
        <v>229.00070430335617</v>
      </c>
      <c r="F37" s="3" t="s">
        <v>48</v>
      </c>
      <c r="G37" s="10" t="str">
        <f t="shared" si="4"/>
        <v>37577.926</v>
      </c>
      <c r="H37" s="8">
        <f t="shared" si="5"/>
        <v>229</v>
      </c>
      <c r="I37" s="47" t="s">
        <v>141</v>
      </c>
      <c r="J37" s="48" t="s">
        <v>142</v>
      </c>
      <c r="K37" s="47">
        <v>229</v>
      </c>
      <c r="L37" s="47" t="s">
        <v>143</v>
      </c>
      <c r="M37" s="48" t="s">
        <v>49</v>
      </c>
      <c r="N37" s="48"/>
      <c r="O37" s="49" t="s">
        <v>144</v>
      </c>
      <c r="P37" s="49" t="s">
        <v>145</v>
      </c>
    </row>
    <row r="38" spans="1:16" ht="12.75" customHeight="1" thickBot="1" x14ac:dyDescent="0.25">
      <c r="A38" s="8" t="str">
        <f t="shared" si="0"/>
        <v> MVS 7.170 </v>
      </c>
      <c r="B38" s="3" t="str">
        <f t="shared" si="1"/>
        <v>I</v>
      </c>
      <c r="C38" s="8">
        <f t="shared" si="2"/>
        <v>37578.42</v>
      </c>
      <c r="D38" s="10" t="str">
        <f t="shared" si="3"/>
        <v>vis</v>
      </c>
      <c r="E38" s="46">
        <f>VLOOKUP(C38,Active!C$21:E$973,3,FALSE)</f>
        <v>229.01102851279131</v>
      </c>
      <c r="F38" s="3" t="s">
        <v>48</v>
      </c>
      <c r="G38" s="10" t="str">
        <f t="shared" si="4"/>
        <v>37578.42</v>
      </c>
      <c r="H38" s="8">
        <f t="shared" si="5"/>
        <v>229</v>
      </c>
      <c r="I38" s="47" t="s">
        <v>146</v>
      </c>
      <c r="J38" s="48" t="s">
        <v>147</v>
      </c>
      <c r="K38" s="47">
        <v>229</v>
      </c>
      <c r="L38" s="47" t="s">
        <v>148</v>
      </c>
      <c r="M38" s="48" t="s">
        <v>56</v>
      </c>
      <c r="N38" s="48"/>
      <c r="O38" s="49" t="s">
        <v>118</v>
      </c>
      <c r="P38" s="49" t="s">
        <v>119</v>
      </c>
    </row>
    <row r="39" spans="1:16" ht="12.75" customHeight="1" thickBot="1" x14ac:dyDescent="0.25">
      <c r="A39" s="8" t="str">
        <f t="shared" si="0"/>
        <v> MVS 7.170 </v>
      </c>
      <c r="B39" s="3" t="str">
        <f t="shared" si="1"/>
        <v>I</v>
      </c>
      <c r="C39" s="8">
        <f t="shared" si="2"/>
        <v>37960.339999999997</v>
      </c>
      <c r="D39" s="10" t="str">
        <f t="shared" si="3"/>
        <v>vis</v>
      </c>
      <c r="E39" s="46">
        <f>VLOOKUP(C39,Active!C$21:E$973,3,FALSE)</f>
        <v>236.99285456031188</v>
      </c>
      <c r="F39" s="3" t="s">
        <v>48</v>
      </c>
      <c r="G39" s="10" t="str">
        <f t="shared" si="4"/>
        <v>37960.34</v>
      </c>
      <c r="H39" s="8">
        <f t="shared" si="5"/>
        <v>237</v>
      </c>
      <c r="I39" s="47" t="s">
        <v>149</v>
      </c>
      <c r="J39" s="48" t="s">
        <v>150</v>
      </c>
      <c r="K39" s="47">
        <v>237</v>
      </c>
      <c r="L39" s="47" t="s">
        <v>151</v>
      </c>
      <c r="M39" s="48" t="s">
        <v>56</v>
      </c>
      <c r="N39" s="48"/>
      <c r="O39" s="49" t="s">
        <v>118</v>
      </c>
      <c r="P39" s="49" t="s">
        <v>119</v>
      </c>
    </row>
    <row r="40" spans="1:16" ht="12.75" customHeight="1" thickBot="1" x14ac:dyDescent="0.25">
      <c r="A40" s="8" t="str">
        <f t="shared" si="0"/>
        <v> MVS 7.170 </v>
      </c>
      <c r="B40" s="3" t="str">
        <f t="shared" si="1"/>
        <v>II</v>
      </c>
      <c r="C40" s="8">
        <f t="shared" si="2"/>
        <v>38319.370000000003</v>
      </c>
      <c r="D40" s="10" t="str">
        <f t="shared" si="3"/>
        <v>vis</v>
      </c>
      <c r="E40" s="46">
        <f>VLOOKUP(C40,Active!C$21:E$973,3,FALSE)</f>
        <v>244.49629770505786</v>
      </c>
      <c r="F40" s="3" t="s">
        <v>48</v>
      </c>
      <c r="G40" s="10" t="str">
        <f t="shared" si="4"/>
        <v>38319.37</v>
      </c>
      <c r="H40" s="8">
        <f t="shared" si="5"/>
        <v>244.5</v>
      </c>
      <c r="I40" s="47" t="s">
        <v>152</v>
      </c>
      <c r="J40" s="48" t="s">
        <v>153</v>
      </c>
      <c r="K40" s="47">
        <v>244.5</v>
      </c>
      <c r="L40" s="47" t="s">
        <v>154</v>
      </c>
      <c r="M40" s="48" t="s">
        <v>56</v>
      </c>
      <c r="N40" s="48"/>
      <c r="O40" s="49" t="s">
        <v>118</v>
      </c>
      <c r="P40" s="49" t="s">
        <v>119</v>
      </c>
    </row>
    <row r="41" spans="1:16" ht="12.75" customHeight="1" thickBot="1" x14ac:dyDescent="0.25">
      <c r="A41" s="8" t="str">
        <f t="shared" si="0"/>
        <v> MVS 7.170 </v>
      </c>
      <c r="B41" s="3" t="str">
        <f t="shared" si="1"/>
        <v>I</v>
      </c>
      <c r="C41" s="8">
        <f t="shared" si="2"/>
        <v>39204.629999999997</v>
      </c>
      <c r="D41" s="10" t="str">
        <f t="shared" si="3"/>
        <v>vis</v>
      </c>
      <c r="E41" s="46">
        <f>VLOOKUP(C41,Active!C$21:E$973,3,FALSE)</f>
        <v>262.99753180337183</v>
      </c>
      <c r="F41" s="3" t="s">
        <v>48</v>
      </c>
      <c r="G41" s="10" t="str">
        <f t="shared" si="4"/>
        <v>39204.63</v>
      </c>
      <c r="H41" s="8">
        <f t="shared" si="5"/>
        <v>263</v>
      </c>
      <c r="I41" s="47" t="s">
        <v>155</v>
      </c>
      <c r="J41" s="48" t="s">
        <v>156</v>
      </c>
      <c r="K41" s="47">
        <v>263</v>
      </c>
      <c r="L41" s="47" t="s">
        <v>157</v>
      </c>
      <c r="M41" s="48" t="s">
        <v>56</v>
      </c>
      <c r="N41" s="48"/>
      <c r="O41" s="49" t="s">
        <v>118</v>
      </c>
      <c r="P41" s="49" t="s">
        <v>119</v>
      </c>
    </row>
    <row r="42" spans="1:16" ht="12.75" customHeight="1" thickBot="1" x14ac:dyDescent="0.25">
      <c r="A42" s="8" t="str">
        <f t="shared" si="0"/>
        <v> MVS 7.170 </v>
      </c>
      <c r="B42" s="3" t="str">
        <f t="shared" si="1"/>
        <v>II</v>
      </c>
      <c r="C42" s="8">
        <f t="shared" si="2"/>
        <v>39611.56</v>
      </c>
      <c r="D42" s="10" t="str">
        <f t="shared" si="3"/>
        <v>vis</v>
      </c>
      <c r="E42" s="46">
        <f>VLOOKUP(C42,Active!C$21:E$973,3,FALSE)</f>
        <v>271.50204707755898</v>
      </c>
      <c r="F42" s="3" t="s">
        <v>48</v>
      </c>
      <c r="G42" s="10" t="str">
        <f t="shared" si="4"/>
        <v>39611.56</v>
      </c>
      <c r="H42" s="8">
        <f t="shared" si="5"/>
        <v>271.5</v>
      </c>
      <c r="I42" s="47" t="s">
        <v>158</v>
      </c>
      <c r="J42" s="48" t="s">
        <v>159</v>
      </c>
      <c r="K42" s="47">
        <v>271.5</v>
      </c>
      <c r="L42" s="47" t="s">
        <v>160</v>
      </c>
      <c r="M42" s="48" t="s">
        <v>56</v>
      </c>
      <c r="N42" s="48"/>
      <c r="O42" s="49" t="s">
        <v>118</v>
      </c>
      <c r="P42" s="49" t="s">
        <v>119</v>
      </c>
    </row>
    <row r="43" spans="1:16" ht="12.75" customHeight="1" thickBot="1" x14ac:dyDescent="0.25">
      <c r="A43" s="8" t="str">
        <f t="shared" si="0"/>
        <v> MVS 7.170 </v>
      </c>
      <c r="B43" s="3" t="str">
        <f t="shared" si="1"/>
        <v>I</v>
      </c>
      <c r="C43" s="8">
        <f t="shared" si="2"/>
        <v>39683.440000000002</v>
      </c>
      <c r="D43" s="10" t="str">
        <f t="shared" si="3"/>
        <v>vis</v>
      </c>
      <c r="E43" s="46">
        <f>VLOOKUP(C43,Active!C$21:E$973,3,FALSE)</f>
        <v>273.0042822480026</v>
      </c>
      <c r="F43" s="3" t="s">
        <v>48</v>
      </c>
      <c r="G43" s="10" t="str">
        <f t="shared" si="4"/>
        <v>39683.44</v>
      </c>
      <c r="H43" s="8">
        <f t="shared" si="5"/>
        <v>273</v>
      </c>
      <c r="I43" s="47" t="s">
        <v>161</v>
      </c>
      <c r="J43" s="48" t="s">
        <v>162</v>
      </c>
      <c r="K43" s="47">
        <v>273</v>
      </c>
      <c r="L43" s="47" t="s">
        <v>163</v>
      </c>
      <c r="M43" s="48" t="s">
        <v>56</v>
      </c>
      <c r="N43" s="48"/>
      <c r="O43" s="49" t="s">
        <v>118</v>
      </c>
      <c r="P43" s="49" t="s">
        <v>119</v>
      </c>
    </row>
    <row r="44" spans="1:16" ht="12.75" customHeight="1" thickBot="1" x14ac:dyDescent="0.25">
      <c r="A44" s="8" t="str">
        <f t="shared" si="0"/>
        <v> MVS 7.170 </v>
      </c>
      <c r="B44" s="3" t="str">
        <f t="shared" si="1"/>
        <v>I</v>
      </c>
      <c r="C44" s="8">
        <f t="shared" si="2"/>
        <v>39683.47</v>
      </c>
      <c r="D44" s="10" t="str">
        <f t="shared" si="3"/>
        <v>vis</v>
      </c>
      <c r="E44" s="46">
        <f>VLOOKUP(C44,Active!C$21:E$973,3,FALSE)</f>
        <v>273.00490922428406</v>
      </c>
      <c r="F44" s="3" t="s">
        <v>48</v>
      </c>
      <c r="G44" s="10" t="str">
        <f t="shared" si="4"/>
        <v>39683.47</v>
      </c>
      <c r="H44" s="8">
        <f t="shared" si="5"/>
        <v>273</v>
      </c>
      <c r="I44" s="47" t="s">
        <v>164</v>
      </c>
      <c r="J44" s="48" t="s">
        <v>165</v>
      </c>
      <c r="K44" s="47">
        <v>273</v>
      </c>
      <c r="L44" s="47" t="s">
        <v>166</v>
      </c>
      <c r="M44" s="48" t="s">
        <v>56</v>
      </c>
      <c r="N44" s="48"/>
      <c r="O44" s="49" t="s">
        <v>118</v>
      </c>
      <c r="P44" s="49" t="s">
        <v>119</v>
      </c>
    </row>
    <row r="45" spans="1:16" ht="12.75" customHeight="1" thickBot="1" x14ac:dyDescent="0.25">
      <c r="A45" s="8" t="str">
        <f t="shared" si="0"/>
        <v> MVS 7.170 </v>
      </c>
      <c r="B45" s="3" t="str">
        <f t="shared" si="1"/>
        <v>I</v>
      </c>
      <c r="C45" s="8">
        <f t="shared" si="2"/>
        <v>39827.26</v>
      </c>
      <c r="D45" s="10" t="str">
        <f t="shared" si="3"/>
        <v>vis</v>
      </c>
      <c r="E45" s="46">
        <f>VLOOKUP(C45,Active!C$21:E$973,3,FALSE)</f>
        <v>276.01000654145258</v>
      </c>
      <c r="F45" s="3" t="s">
        <v>48</v>
      </c>
      <c r="G45" s="10" t="str">
        <f t="shared" si="4"/>
        <v>39827.26</v>
      </c>
      <c r="H45" s="8">
        <f t="shared" si="5"/>
        <v>276</v>
      </c>
      <c r="I45" s="47" t="s">
        <v>167</v>
      </c>
      <c r="J45" s="48" t="s">
        <v>168</v>
      </c>
      <c r="K45" s="47">
        <v>276</v>
      </c>
      <c r="L45" s="47" t="s">
        <v>169</v>
      </c>
      <c r="M45" s="48" t="s">
        <v>56</v>
      </c>
      <c r="N45" s="48"/>
      <c r="O45" s="49" t="s">
        <v>118</v>
      </c>
      <c r="P45" s="49" t="s">
        <v>119</v>
      </c>
    </row>
    <row r="46" spans="1:16" ht="12.75" customHeight="1" thickBot="1" x14ac:dyDescent="0.25">
      <c r="A46" s="8" t="str">
        <f t="shared" si="0"/>
        <v> MVS 7.170 </v>
      </c>
      <c r="B46" s="3" t="str">
        <f t="shared" si="1"/>
        <v>I</v>
      </c>
      <c r="C46" s="8">
        <f t="shared" si="2"/>
        <v>39827.32</v>
      </c>
      <c r="D46" s="10" t="str">
        <f t="shared" si="3"/>
        <v>vis</v>
      </c>
      <c r="E46" s="46">
        <f>VLOOKUP(C46,Active!C$21:E$973,3,FALSE)</f>
        <v>276.01126049401546</v>
      </c>
      <c r="F46" s="3" t="s">
        <v>48</v>
      </c>
      <c r="G46" s="10" t="str">
        <f t="shared" si="4"/>
        <v>39827.32</v>
      </c>
      <c r="H46" s="8">
        <f t="shared" si="5"/>
        <v>276</v>
      </c>
      <c r="I46" s="47" t="s">
        <v>170</v>
      </c>
      <c r="J46" s="48" t="s">
        <v>171</v>
      </c>
      <c r="K46" s="47">
        <v>276</v>
      </c>
      <c r="L46" s="47" t="s">
        <v>172</v>
      </c>
      <c r="M46" s="48" t="s">
        <v>56</v>
      </c>
      <c r="N46" s="48"/>
      <c r="O46" s="49" t="s">
        <v>118</v>
      </c>
      <c r="P46" s="49" t="s">
        <v>119</v>
      </c>
    </row>
    <row r="47" spans="1:16" ht="12.75" customHeight="1" thickBot="1" x14ac:dyDescent="0.25">
      <c r="A47" s="8" t="str">
        <f t="shared" si="0"/>
        <v> MVS 7.170 </v>
      </c>
      <c r="B47" s="3" t="str">
        <f t="shared" si="1"/>
        <v>I</v>
      </c>
      <c r="C47" s="8">
        <f t="shared" si="2"/>
        <v>40066.44</v>
      </c>
      <c r="D47" s="10" t="str">
        <f t="shared" si="3"/>
        <v>vis</v>
      </c>
      <c r="E47" s="46">
        <f>VLOOKUP(C47,Active!C$21:E$973,3,FALSE)</f>
        <v>281.00867944165674</v>
      </c>
      <c r="F47" s="3" t="s">
        <v>48</v>
      </c>
      <c r="G47" s="10" t="str">
        <f t="shared" si="4"/>
        <v>40066.44</v>
      </c>
      <c r="H47" s="8">
        <f t="shared" si="5"/>
        <v>281</v>
      </c>
      <c r="I47" s="47" t="s">
        <v>173</v>
      </c>
      <c r="J47" s="48" t="s">
        <v>174</v>
      </c>
      <c r="K47" s="47">
        <v>281</v>
      </c>
      <c r="L47" s="47" t="s">
        <v>175</v>
      </c>
      <c r="M47" s="48" t="s">
        <v>56</v>
      </c>
      <c r="N47" s="48"/>
      <c r="O47" s="49" t="s">
        <v>118</v>
      </c>
      <c r="P47" s="49" t="s">
        <v>119</v>
      </c>
    </row>
    <row r="48" spans="1:16" ht="12.75" customHeight="1" thickBot="1" x14ac:dyDescent="0.25">
      <c r="A48" s="8" t="str">
        <f t="shared" si="0"/>
        <v> MVS 7.170 </v>
      </c>
      <c r="B48" s="3" t="str">
        <f t="shared" si="1"/>
        <v>II</v>
      </c>
      <c r="C48" s="8">
        <f t="shared" si="2"/>
        <v>40425.480000000003</v>
      </c>
      <c r="D48" s="10" t="str">
        <f t="shared" si="3"/>
        <v>vis</v>
      </c>
      <c r="E48" s="46">
        <f>VLOOKUP(C48,Active!C$21:E$973,3,FALSE)</f>
        <v>288.5123315784964</v>
      </c>
      <c r="F48" s="3" t="s">
        <v>48</v>
      </c>
      <c r="G48" s="10" t="str">
        <f t="shared" si="4"/>
        <v>40425.48</v>
      </c>
      <c r="H48" s="8">
        <f t="shared" si="5"/>
        <v>288.5</v>
      </c>
      <c r="I48" s="47" t="s">
        <v>176</v>
      </c>
      <c r="J48" s="48" t="s">
        <v>177</v>
      </c>
      <c r="K48" s="47">
        <v>288.5</v>
      </c>
      <c r="L48" s="47" t="s">
        <v>178</v>
      </c>
      <c r="M48" s="48" t="s">
        <v>56</v>
      </c>
      <c r="N48" s="48"/>
      <c r="O48" s="49" t="s">
        <v>118</v>
      </c>
      <c r="P48" s="49" t="s">
        <v>119</v>
      </c>
    </row>
    <row r="49" spans="1:16" ht="12.75" customHeight="1" thickBot="1" x14ac:dyDescent="0.25">
      <c r="A49" s="8" t="str">
        <f t="shared" si="0"/>
        <v> MVS 7.170 </v>
      </c>
      <c r="B49" s="3" t="str">
        <f t="shared" si="1"/>
        <v>II</v>
      </c>
      <c r="C49" s="8">
        <f t="shared" si="2"/>
        <v>40472.370000000003</v>
      </c>
      <c r="D49" s="10" t="str">
        <f t="shared" si="3"/>
        <v>vis</v>
      </c>
      <c r="E49" s="46">
        <f>VLOOKUP(C49,Active!C$21:E$973,3,FALSE)</f>
        <v>289.49229550646101</v>
      </c>
      <c r="F49" s="3" t="s">
        <v>48</v>
      </c>
      <c r="G49" s="10" t="str">
        <f t="shared" si="4"/>
        <v>40472.37</v>
      </c>
      <c r="H49" s="8">
        <f t="shared" si="5"/>
        <v>289.5</v>
      </c>
      <c r="I49" s="47" t="s">
        <v>179</v>
      </c>
      <c r="J49" s="48" t="s">
        <v>180</v>
      </c>
      <c r="K49" s="47">
        <v>289.5</v>
      </c>
      <c r="L49" s="47" t="s">
        <v>181</v>
      </c>
      <c r="M49" s="48" t="s">
        <v>56</v>
      </c>
      <c r="N49" s="48"/>
      <c r="O49" s="49" t="s">
        <v>118</v>
      </c>
      <c r="P49" s="49" t="s">
        <v>119</v>
      </c>
    </row>
    <row r="50" spans="1:16" ht="12.75" customHeight="1" thickBot="1" x14ac:dyDescent="0.25">
      <c r="A50" s="8" t="str">
        <f t="shared" si="0"/>
        <v> MVS 7.170 </v>
      </c>
      <c r="B50" s="3" t="str">
        <f t="shared" si="1"/>
        <v>II</v>
      </c>
      <c r="C50" s="8">
        <f t="shared" si="2"/>
        <v>40473.39</v>
      </c>
      <c r="D50" s="10" t="str">
        <f t="shared" si="3"/>
        <v>vis</v>
      </c>
      <c r="E50" s="46">
        <f>VLOOKUP(C50,Active!C$21:E$973,3,FALSE)</f>
        <v>289.5136127000315</v>
      </c>
      <c r="F50" s="3" t="s">
        <v>48</v>
      </c>
      <c r="G50" s="10" t="str">
        <f t="shared" si="4"/>
        <v>40473.39</v>
      </c>
      <c r="H50" s="8">
        <f t="shared" si="5"/>
        <v>289.5</v>
      </c>
      <c r="I50" s="47" t="s">
        <v>182</v>
      </c>
      <c r="J50" s="48" t="s">
        <v>183</v>
      </c>
      <c r="K50" s="47">
        <v>289.5</v>
      </c>
      <c r="L50" s="47" t="s">
        <v>184</v>
      </c>
      <c r="M50" s="48" t="s">
        <v>56</v>
      </c>
      <c r="N50" s="48"/>
      <c r="O50" s="49" t="s">
        <v>118</v>
      </c>
      <c r="P50" s="49" t="s">
        <v>119</v>
      </c>
    </row>
    <row r="51" spans="1:16" ht="12.75" customHeight="1" thickBot="1" x14ac:dyDescent="0.25">
      <c r="A51" s="8" t="str">
        <f t="shared" si="0"/>
        <v> MVS 7.170 </v>
      </c>
      <c r="B51" s="3" t="str">
        <f t="shared" si="1"/>
        <v>I</v>
      </c>
      <c r="C51" s="8">
        <f t="shared" si="2"/>
        <v>40831.440000000002</v>
      </c>
      <c r="D51" s="10" t="str">
        <f t="shared" si="3"/>
        <v>vis</v>
      </c>
      <c r="E51" s="46">
        <f>VLOOKUP(C51,Active!C$21:E$973,3,FALSE)</f>
        <v>296.99657461958219</v>
      </c>
      <c r="F51" s="3" t="s">
        <v>48</v>
      </c>
      <c r="G51" s="10" t="str">
        <f t="shared" si="4"/>
        <v>40831.44</v>
      </c>
      <c r="H51" s="8">
        <f t="shared" si="5"/>
        <v>297</v>
      </c>
      <c r="I51" s="47" t="s">
        <v>185</v>
      </c>
      <c r="J51" s="48" t="s">
        <v>186</v>
      </c>
      <c r="K51" s="47">
        <v>297</v>
      </c>
      <c r="L51" s="47" t="s">
        <v>187</v>
      </c>
      <c r="M51" s="48" t="s">
        <v>56</v>
      </c>
      <c r="N51" s="48"/>
      <c r="O51" s="49" t="s">
        <v>118</v>
      </c>
      <c r="P51" s="49" t="s">
        <v>119</v>
      </c>
    </row>
    <row r="52" spans="1:16" ht="12.75" customHeight="1" thickBot="1" x14ac:dyDescent="0.25">
      <c r="A52" s="8" t="str">
        <f t="shared" si="0"/>
        <v> MVS 7.170 </v>
      </c>
      <c r="B52" s="3" t="str">
        <f t="shared" si="1"/>
        <v>I</v>
      </c>
      <c r="C52" s="8">
        <f t="shared" si="2"/>
        <v>41070.54</v>
      </c>
      <c r="D52" s="10" t="str">
        <f t="shared" si="3"/>
        <v>vis</v>
      </c>
      <c r="E52" s="46">
        <f>VLOOKUP(C52,Active!C$21:E$973,3,FALSE)</f>
        <v>301.99357558303569</v>
      </c>
      <c r="F52" s="3" t="s">
        <v>48</v>
      </c>
      <c r="G52" s="10" t="str">
        <f t="shared" si="4"/>
        <v>41070.54</v>
      </c>
      <c r="H52" s="8">
        <f t="shared" si="5"/>
        <v>302</v>
      </c>
      <c r="I52" s="47" t="s">
        <v>188</v>
      </c>
      <c r="J52" s="48" t="s">
        <v>189</v>
      </c>
      <c r="K52" s="47">
        <v>302</v>
      </c>
      <c r="L52" s="47" t="s">
        <v>190</v>
      </c>
      <c r="M52" s="48" t="s">
        <v>56</v>
      </c>
      <c r="N52" s="48"/>
      <c r="O52" s="49" t="s">
        <v>118</v>
      </c>
      <c r="P52" s="49" t="s">
        <v>119</v>
      </c>
    </row>
    <row r="53" spans="1:16" ht="12.75" customHeight="1" thickBot="1" x14ac:dyDescent="0.25">
      <c r="A53" s="8" t="str">
        <f t="shared" si="0"/>
        <v> MVS 7.170 </v>
      </c>
      <c r="B53" s="3" t="str">
        <f t="shared" si="1"/>
        <v>I</v>
      </c>
      <c r="C53" s="8">
        <f t="shared" si="2"/>
        <v>41166.49</v>
      </c>
      <c r="D53" s="10" t="str">
        <f t="shared" si="3"/>
        <v>vis</v>
      </c>
      <c r="E53" s="46">
        <f>VLOOKUP(C53,Active!C$21:E$973,3,FALSE)</f>
        <v>303.99885472332573</v>
      </c>
      <c r="F53" s="3" t="s">
        <v>48</v>
      </c>
      <c r="G53" s="10" t="str">
        <f t="shared" si="4"/>
        <v>41166.49</v>
      </c>
      <c r="H53" s="8">
        <f t="shared" si="5"/>
        <v>304</v>
      </c>
      <c r="I53" s="47" t="s">
        <v>191</v>
      </c>
      <c r="J53" s="48" t="s">
        <v>192</v>
      </c>
      <c r="K53" s="47">
        <v>304</v>
      </c>
      <c r="L53" s="47" t="s">
        <v>193</v>
      </c>
      <c r="M53" s="48" t="s">
        <v>56</v>
      </c>
      <c r="N53" s="48"/>
      <c r="O53" s="49" t="s">
        <v>118</v>
      </c>
      <c r="P53" s="49" t="s">
        <v>119</v>
      </c>
    </row>
    <row r="54" spans="1:16" ht="12.75" customHeight="1" thickBot="1" x14ac:dyDescent="0.25">
      <c r="A54" s="8" t="str">
        <f t="shared" si="0"/>
        <v> MVS 7.170 </v>
      </c>
      <c r="B54" s="3" t="str">
        <f t="shared" si="1"/>
        <v>I</v>
      </c>
      <c r="C54" s="8">
        <f t="shared" si="2"/>
        <v>41214.42</v>
      </c>
      <c r="D54" s="10" t="str">
        <f t="shared" si="3"/>
        <v>vis</v>
      </c>
      <c r="E54" s="46">
        <f>VLOOKUP(C54,Active!C$21:E$973,3,FALSE)</f>
        <v>305.00055382904861</v>
      </c>
      <c r="F54" s="3" t="s">
        <v>48</v>
      </c>
      <c r="G54" s="10" t="str">
        <f t="shared" si="4"/>
        <v>41214.42</v>
      </c>
      <c r="H54" s="8">
        <f t="shared" si="5"/>
        <v>305</v>
      </c>
      <c r="I54" s="47" t="s">
        <v>194</v>
      </c>
      <c r="J54" s="48" t="s">
        <v>195</v>
      </c>
      <c r="K54" s="47">
        <v>305</v>
      </c>
      <c r="L54" s="47" t="s">
        <v>196</v>
      </c>
      <c r="M54" s="48" t="s">
        <v>56</v>
      </c>
      <c r="N54" s="48"/>
      <c r="O54" s="49" t="s">
        <v>118</v>
      </c>
      <c r="P54" s="49" t="s">
        <v>119</v>
      </c>
    </row>
    <row r="55" spans="1:16" ht="12.75" customHeight="1" thickBot="1" x14ac:dyDescent="0.25">
      <c r="A55" s="8" t="str">
        <f t="shared" si="0"/>
        <v> MVS 7.170 </v>
      </c>
      <c r="B55" s="3" t="str">
        <f t="shared" si="1"/>
        <v>I</v>
      </c>
      <c r="C55" s="8">
        <f t="shared" si="2"/>
        <v>42601.48</v>
      </c>
      <c r="D55" s="10" t="str">
        <f t="shared" si="3"/>
        <v>vis</v>
      </c>
      <c r="E55" s="46">
        <f>VLOOKUP(C55,Active!C$21:E$973,3,FALSE)</f>
        <v>333.9890111957065</v>
      </c>
      <c r="F55" s="3" t="s">
        <v>48</v>
      </c>
      <c r="G55" s="10" t="str">
        <f t="shared" si="4"/>
        <v>42601.48</v>
      </c>
      <c r="H55" s="8">
        <f t="shared" si="5"/>
        <v>334</v>
      </c>
      <c r="I55" s="47" t="s">
        <v>197</v>
      </c>
      <c r="J55" s="48" t="s">
        <v>198</v>
      </c>
      <c r="K55" s="47">
        <v>334</v>
      </c>
      <c r="L55" s="47" t="s">
        <v>199</v>
      </c>
      <c r="M55" s="48" t="s">
        <v>56</v>
      </c>
      <c r="N55" s="48"/>
      <c r="O55" s="49" t="s">
        <v>118</v>
      </c>
      <c r="P55" s="49" t="s">
        <v>119</v>
      </c>
    </row>
    <row r="56" spans="1:16" ht="12.75" customHeight="1" thickBot="1" x14ac:dyDescent="0.25">
      <c r="A56" s="8" t="str">
        <f t="shared" si="0"/>
        <v> MVS 7.170 </v>
      </c>
      <c r="B56" s="3" t="str">
        <f t="shared" si="1"/>
        <v>I</v>
      </c>
      <c r="C56" s="8">
        <f t="shared" si="2"/>
        <v>42697.42</v>
      </c>
      <c r="D56" s="10" t="str">
        <f t="shared" si="3"/>
        <v>vis</v>
      </c>
      <c r="E56" s="46">
        <f>VLOOKUP(C56,Active!C$21:E$973,3,FALSE)</f>
        <v>335.99408134390268</v>
      </c>
      <c r="F56" s="3" t="s">
        <v>48</v>
      </c>
      <c r="G56" s="10" t="str">
        <f t="shared" si="4"/>
        <v>42697.42</v>
      </c>
      <c r="H56" s="8">
        <f t="shared" si="5"/>
        <v>336</v>
      </c>
      <c r="I56" s="47" t="s">
        <v>200</v>
      </c>
      <c r="J56" s="48" t="s">
        <v>201</v>
      </c>
      <c r="K56" s="47">
        <v>336</v>
      </c>
      <c r="L56" s="47" t="s">
        <v>202</v>
      </c>
      <c r="M56" s="48" t="s">
        <v>56</v>
      </c>
      <c r="N56" s="48"/>
      <c r="O56" s="49" t="s">
        <v>118</v>
      </c>
      <c r="P56" s="49" t="s">
        <v>119</v>
      </c>
    </row>
    <row r="57" spans="1:16" ht="12.75" customHeight="1" thickBot="1" x14ac:dyDescent="0.25">
      <c r="A57" s="8" t="str">
        <f t="shared" si="0"/>
        <v>BAVM 241 (=IBVS 6157) </v>
      </c>
      <c r="B57" s="3" t="str">
        <f t="shared" si="1"/>
        <v>I</v>
      </c>
      <c r="C57" s="8">
        <f t="shared" si="2"/>
        <v>57243.385699999999</v>
      </c>
      <c r="D57" s="10" t="str">
        <f t="shared" si="3"/>
        <v>vis</v>
      </c>
      <c r="E57" s="46">
        <f>VLOOKUP(C57,Active!C$21:E$973,3,FALSE)</f>
        <v>639.99326418481587</v>
      </c>
      <c r="F57" s="3" t="s">
        <v>48</v>
      </c>
      <c r="G57" s="10" t="str">
        <f t="shared" si="4"/>
        <v>57243.3857</v>
      </c>
      <c r="H57" s="8">
        <f t="shared" si="5"/>
        <v>640</v>
      </c>
      <c r="I57" s="47" t="s">
        <v>203</v>
      </c>
      <c r="J57" s="48" t="s">
        <v>204</v>
      </c>
      <c r="K57" s="47">
        <v>640</v>
      </c>
      <c r="L57" s="47" t="s">
        <v>205</v>
      </c>
      <c r="M57" s="48" t="s">
        <v>206</v>
      </c>
      <c r="N57" s="48" t="s">
        <v>48</v>
      </c>
      <c r="O57" s="49" t="s">
        <v>207</v>
      </c>
      <c r="P57" s="50" t="s">
        <v>208</v>
      </c>
    </row>
    <row r="58" spans="1:16" x14ac:dyDescent="0.2">
      <c r="B58" s="3"/>
      <c r="F58" s="3"/>
    </row>
    <row r="59" spans="1:16" x14ac:dyDescent="0.2">
      <c r="B59" s="3"/>
      <c r="F59" s="3"/>
    </row>
    <row r="60" spans="1:16" x14ac:dyDescent="0.2">
      <c r="B60" s="3"/>
      <c r="F60" s="3"/>
    </row>
    <row r="61" spans="1:16" x14ac:dyDescent="0.2">
      <c r="B61" s="3"/>
      <c r="F61" s="3"/>
    </row>
    <row r="62" spans="1:16" x14ac:dyDescent="0.2">
      <c r="B62" s="3"/>
      <c r="F62" s="3"/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</sheetData>
  <phoneticPr fontId="8" type="noConversion"/>
  <hyperlinks>
    <hyperlink ref="A3" r:id="rId1"/>
    <hyperlink ref="P57" r:id="rId2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2024-01-31T05:11:28Z</dcterms:modified>
</cp:coreProperties>
</file>