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4B41FD-3ACE-41B2-ACBE-052A906D7EB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29" i="1" l="1"/>
  <c r="G29" i="1"/>
  <c r="K29" i="1"/>
  <c r="Q29" i="1"/>
  <c r="E29" i="1"/>
  <c r="E21" i="1"/>
  <c r="F21" i="1"/>
  <c r="G21" i="1"/>
  <c r="I21" i="1"/>
  <c r="E22" i="1"/>
  <c r="F22" i="1"/>
  <c r="G22" i="1"/>
  <c r="I22" i="1"/>
  <c r="E23" i="1"/>
  <c r="F23" i="1"/>
  <c r="G23" i="1"/>
  <c r="I23" i="1"/>
  <c r="E25" i="1"/>
  <c r="F25" i="1"/>
  <c r="G25" i="1"/>
  <c r="I25" i="1"/>
  <c r="E26" i="1"/>
  <c r="F26" i="1"/>
  <c r="G26" i="1"/>
  <c r="I26" i="1"/>
  <c r="E27" i="1"/>
  <c r="F27" i="1"/>
  <c r="G27" i="1"/>
  <c r="K27" i="1"/>
  <c r="E28" i="1"/>
  <c r="F28" i="1"/>
  <c r="G28" i="1"/>
  <c r="J28" i="1"/>
  <c r="D9" i="1"/>
  <c r="C9" i="1"/>
  <c r="Q22" i="1"/>
  <c r="Q23" i="1"/>
  <c r="Q25" i="1"/>
  <c r="Q26" i="1"/>
  <c r="Q21" i="1"/>
  <c r="G13" i="2"/>
  <c r="C13" i="2"/>
  <c r="E13" i="2"/>
  <c r="G12" i="2"/>
  <c r="C12" i="2"/>
  <c r="E12" i="2"/>
  <c r="G17" i="2"/>
  <c r="C17" i="2"/>
  <c r="E17" i="2"/>
  <c r="G16" i="2"/>
  <c r="C16" i="2"/>
  <c r="E16" i="2"/>
  <c r="G15" i="2"/>
  <c r="C15" i="2"/>
  <c r="E15" i="2"/>
  <c r="G14" i="2"/>
  <c r="C14" i="2"/>
  <c r="E14" i="2"/>
  <c r="G18" i="2"/>
  <c r="C18" i="2"/>
  <c r="E18" i="2"/>
  <c r="H13" i="2"/>
  <c r="D13" i="2"/>
  <c r="B13" i="2"/>
  <c r="A13" i="2"/>
  <c r="H12" i="2"/>
  <c r="D12" i="2"/>
  <c r="B12" i="2"/>
  <c r="A12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8" i="2"/>
  <c r="D18" i="2"/>
  <c r="B18" i="2"/>
  <c r="A18" i="2"/>
  <c r="Q28" i="1"/>
  <c r="Q27" i="1"/>
  <c r="C24" i="1"/>
  <c r="Q24" i="1"/>
  <c r="F16" i="1"/>
  <c r="F17" i="1" s="1"/>
  <c r="C17" i="1"/>
  <c r="G24" i="1"/>
  <c r="E24" i="1"/>
  <c r="F24" i="1"/>
  <c r="H24" i="1"/>
  <c r="C12" i="1"/>
  <c r="C11" i="1"/>
  <c r="O26" i="1" l="1"/>
  <c r="O25" i="1"/>
  <c r="O27" i="1"/>
  <c r="O24" i="1"/>
  <c r="O21" i="1"/>
  <c r="O22" i="1"/>
  <c r="C15" i="1"/>
  <c r="F18" i="1" s="1"/>
  <c r="O29" i="1"/>
  <c r="O23" i="1"/>
  <c r="O28" i="1"/>
  <c r="C16" i="1"/>
  <c r="D18" i="1" s="1"/>
  <c r="C18" i="1" l="1"/>
  <c r="F19" i="1"/>
</calcChain>
</file>

<file path=xl/sharedStrings.xml><?xml version="1.0" encoding="utf-8"?>
<sst xmlns="http://schemas.openxmlformats.org/spreadsheetml/2006/main" count="145" uniqueCount="98">
  <si>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</si>
  <si>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</si>
  <si>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</si>
  <si>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</si>
  <si>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</si>
  <si>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</si>
  <si>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</si>
  <si>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</si>
  <si>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</si>
  <si>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</si>
  <si>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</si>
  <si>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</si>
  <si>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</si>
  <si>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</si>
  <si>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</si>
  <si>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</si>
  <si>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</si>
  <si>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</si>
  <si>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</si>
  <si>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</si>
  <si>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</si>
  <si>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</si>
  <si>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</si>
  <si>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</si>
  <si>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</si>
  <si>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</si>
  <si>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</si>
  <si>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</si>
  <si>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</si>
  <si>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</si>
  <si>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</si>
  <si>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</si>
  <si>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</si>
  <si>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</si>
  <si>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</si>
  <si>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</si>
  <si>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</si>
  <si>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</si>
  <si>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</si>
  <si>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V0789 Cyg</t>
  </si>
  <si>
    <t>BRNO</t>
  </si>
  <si>
    <t>OEJV 0160</t>
  </si>
  <si>
    <t>I</t>
  </si>
  <si>
    <t>IBVS 6118</t>
  </si>
  <si>
    <t>V789 Cyg / GSC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</si>
  <si>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</si>
  <si>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</si>
  <si>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</si>
  <si>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</si>
  <si>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</si>
  <si>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</si>
  <si>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</si>
  <si>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</si>
  <si>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</si>
  <si>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</si>
  <si>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</si>
  <si>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2451867.313 </t>
  </si>
  <si>
    <t> 18.11.2000 19:30 </t>
  </si>
  <si>
    <t> 0.015 </t>
  </si>
  <si>
    <t>E </t>
  </si>
  <si>
    <t>?</t>
  </si>
  <si>
    <t> E.Blättler </t>
  </si>
  <si>
    <t> BBS 124 </t>
  </si>
  <si>
    <t>2454639.4796 </t>
  </si>
  <si>
    <t> 21.06.2008 23:30 </t>
  </si>
  <si>
    <t> 0.0594 </t>
  </si>
  <si>
    <t>C </t>
  </si>
  <si>
    <t>-I</t>
  </si>
  <si>
    <t> F.Agerer </t>
  </si>
  <si>
    <t>BAVM 225 </t>
  </si>
  <si>
    <t>2455388.5007 </t>
  </si>
  <si>
    <t> 11.07.2010 00:01 </t>
  </si>
  <si>
    <t>78462</t>
  </si>
  <si>
    <t> -0.0014 </t>
  </si>
  <si>
    <t>R</t>
  </si>
  <si>
    <t> F.Lomoz </t>
  </si>
  <si>
    <t>OEJV 0137 </t>
  </si>
  <si>
    <t>2455478.2920 </t>
  </si>
  <si>
    <t> 08.10.2010 19:00 </t>
  </si>
  <si>
    <t>78773</t>
  </si>
  <si>
    <t> 0.0501 </t>
  </si>
  <si>
    <t>2455794.4722 </t>
  </si>
  <si>
    <t> 20.08.2011 23:19 </t>
  </si>
  <si>
    <t>79869</t>
  </si>
  <si>
    <t> -0.0230 </t>
  </si>
  <si>
    <t>2456106.3958 </t>
  </si>
  <si>
    <t> 27.06.2012 21:29 </t>
  </si>
  <si>
    <t>80950</t>
  </si>
  <si>
    <t> -0.0245 </t>
  </si>
  <si>
    <t> N.Ruocco </t>
  </si>
  <si>
    <t>OEJV 0160 </t>
  </si>
  <si>
    <t>2456494.4519 </t>
  </si>
  <si>
    <t> 20.07.2013 22:50 </t>
  </si>
  <si>
    <t>82294.5</t>
  </si>
  <si>
    <t> 0.0730 </t>
  </si>
  <si>
    <t>BAVM 234 </t>
  </si>
  <si>
    <t>OEJV 0137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</si>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</sst>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9" fillId="25" borderId="0" xfId="0" applyFont="1" applyFill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6" fillId="26" borderId="0" xfId="0" applyFont="1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V0789 Cyg - O-C Diagr.</a:t>
            </a:r>
          </a:p>
        </c:rich>
      </c:tx>
      <c:layout>
        <c:manualLayout>
          <c:xMode val="edge"/>
          <c:yMode val="edge"/>
          <c:x val="0.403887688984881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5161987041037"/>
          <c:y val="0.14035127795846455"/>
          <c:w val="0.859611231101511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B-40BD-ACC4-74B93011C4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0.28867400000308407</c:v>
                </c:pt>
                <c:pt idx="1">
                  <c:v>5.7265999996161554E-2</c:v>
                </c:pt>
                <c:pt idx="2">
                  <c:v>-3.0000002880115062E-5</c:v>
                </c:pt>
                <c:pt idx="4">
                  <c:v>5.1909000001614913E-2</c:v>
                </c:pt>
                <c:pt idx="5">
                  <c:v>-1.9787000004725996E-2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B-40BD-ACC4-74B93011C4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-6.4812999997229781E-2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3B-40BD-ACC4-74B93011C4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-1.981800000066869E-2</c:v>
                </c:pt>
                <c:pt idx="8">
                  <c:v>-0.16157200000452576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3B-40BD-ACC4-74B93011C4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3B-40BD-ACC4-74B93011C4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3B-40BD-ACC4-74B93011C4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1.8E-3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3B-40BD-ACC4-74B93011C4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0.28760302290456674</c:v>
                </c:pt>
                <c:pt idx="1">
                  <c:v>7.3898752397519918E-2</c:v>
                </c:pt>
                <c:pt idx="2">
                  <c:v>1.6157673480337011E-2</c:v>
                </c:pt>
                <c:pt idx="3">
                  <c:v>1.6157673480337011E-2</c:v>
                </c:pt>
                <c:pt idx="4">
                  <c:v>9.2403100199194878E-3</c:v>
                </c:pt>
                <c:pt idx="5">
                  <c:v>-1.5137279538336469E-2</c:v>
                </c:pt>
                <c:pt idx="6">
                  <c:v>-3.9181234203003165E-2</c:v>
                </c:pt>
                <c:pt idx="7">
                  <c:v>-6.9097162994841005E-2</c:v>
                </c:pt>
                <c:pt idx="8">
                  <c:v>-0.14781275555566933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3B-40BD-ACC4-74B93011C4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-12204</c:v>
                </c:pt>
                <c:pt idx="1">
                  <c:v>-2596</c:v>
                </c:pt>
                <c:pt idx="2">
                  <c:v>0</c:v>
                </c:pt>
                <c:pt idx="3">
                  <c:v>0</c:v>
                </c:pt>
                <c:pt idx="4">
                  <c:v>311</c:v>
                </c:pt>
                <c:pt idx="5">
                  <c:v>1407</c:v>
                </c:pt>
                <c:pt idx="6">
                  <c:v>2488</c:v>
                </c:pt>
                <c:pt idx="7">
                  <c:v>3833</c:v>
                </c:pt>
                <c:pt idx="8">
                  <c:v>7372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3B-40BD-ACC4-74B93011C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777192"/>
        <c:axId val="1"/>
      </c:scatterChart>
      <c:valAx>
        <c:axId val="72477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58099352051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7645788336932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77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61555075593955"/>
          <c:y val="0.92397937099967764"/>
          <c:w val="0.512958963282937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21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2D2501-E7BE-F8DF-8451-60BEF2BF9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22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44</v>
      </c>
    </row>
    <row r="2" spans="1:6" x14ac:dyDescent="0.2">
      <c r="A2" t="s">
        <v>24</v>
      </c>
      <c r="B2" s="3" t="s">
        <v>14</v>
      </c>
      <c r="C2" s="3"/>
      <c r="D2" s="3"/>
      <c r="E2" t="s">
        <v>39</v>
      </c>
      <c r="F2" t="s">
        <v>14</v>
      </c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52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59">
        <v>55388.50073</v>
      </c>
      <c r="D7" s="29" t="s">
        <v>40</v>
      </c>
    </row>
    <row r="8" spans="1:6" x14ac:dyDescent="0.2">
      <c r="A8" t="s">
        <v>4</v>
      </c>
      <c r="C8" s="59">
        <v>0.288551</v>
      </c>
      <c r="D8" s="29" t="s">
        <v>40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52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52"/>
      <c r="C11" s="21">
        <f ca="1">INTERCEPT(INDIRECT($D$9):G992,INDIRECT($C$9):F992)</f>
        <v>1.6157673480337011E-2</v>
      </c>
      <c r="D11" s="3"/>
      <c r="E11" s="10"/>
    </row>
    <row r="12" spans="1:6" x14ac:dyDescent="0.2">
      <c r="A12" s="10" t="s">
        <v>17</v>
      </c>
      <c r="B12" s="52"/>
      <c r="C12" s="21">
        <f ca="1">SLOPE(INDIRECT($D$9):G992,INDIRECT($C$9):F992)</f>
        <v>-2.2242326239284636E-5</v>
      </c>
      <c r="D12" s="3"/>
      <c r="E12" s="10"/>
    </row>
    <row r="13" spans="1:6" x14ac:dyDescent="0.2">
      <c r="A13" s="10" t="s">
        <v>19</v>
      </c>
      <c r="B13" s="52"/>
      <c r="C13" s="3" t="s">
        <v>14</v>
      </c>
    </row>
    <row r="14" spans="1:6" x14ac:dyDescent="0.2">
      <c r="A14" s="10"/>
      <c r="B14" s="52"/>
      <c r="C14" s="10"/>
    </row>
    <row r="15" spans="1:6" x14ac:dyDescent="0.2">
      <c r="A15" s="12" t="s">
        <v>18</v>
      </c>
      <c r="B15" s="52"/>
      <c r="C15" s="13">
        <f ca="1">(C7+C11)+(C8+C12)*INT(MAX(F21:F3533))</f>
        <v>57515.550889244449</v>
      </c>
      <c r="E15" s="14" t="s">
        <v>35</v>
      </c>
      <c r="F15" s="11">
        <v>1</v>
      </c>
    </row>
    <row r="16" spans="1:6" x14ac:dyDescent="0.2">
      <c r="A16" s="16" t="s">
        <v>5</v>
      </c>
      <c r="B16" s="52"/>
      <c r="C16" s="17">
        <f ca="1">+C8+C12</f>
        <v>0.28852875767376074</v>
      </c>
      <c r="E16" s="14" t="s">
        <v>31</v>
      </c>
      <c r="F16" s="15">
        <f ca="1">NOW()+15018.5+$C$5/24</f>
        <v>60340.758906481482</v>
      </c>
    </row>
    <row r="17" spans="1:21" ht="13.5" thickBot="1" x14ac:dyDescent="0.25">
      <c r="A17" s="14" t="s">
        <v>28</v>
      </c>
      <c r="B17" s="52"/>
      <c r="C17" s="10">
        <f>COUNT(C21:C2191)</f>
        <v>9</v>
      </c>
      <c r="E17" s="14" t="s">
        <v>36</v>
      </c>
      <c r="F17" s="15">
        <f ca="1">ROUND(2*(F16-$C$7)/$C$8,0)/2+F15</f>
        <v>17163.5</v>
      </c>
    </row>
    <row r="18" spans="1:21" ht="14.25" thickTop="1" thickBot="1" x14ac:dyDescent="0.25">
      <c r="A18" s="16" t="s">
        <v>6</v>
      </c>
      <c r="B18" s="52"/>
      <c r="C18" s="19">
        <f ca="1">+C15</f>
        <v>57515.550889244449</v>
      </c>
      <c r="D18" s="20">
        <f ca="1">+C16</f>
        <v>0.28852875767376074</v>
      </c>
      <c r="E18" s="14" t="s">
        <v>37</v>
      </c>
      <c r="F18" s="23">
        <f ca="1">ROUND(2*(F16-$C$15)/$C$16,0)/2+F15</f>
        <v>9793</v>
      </c>
    </row>
    <row r="19" spans="1:21" ht="13.5" thickTop="1" x14ac:dyDescent="0.2">
      <c r="E19" s="14" t="s">
        <v>32</v>
      </c>
      <c r="F19" s="18">
        <f ca="1">+$C$15+$C$16*F18-15018.5-$C$5/24</f>
        <v>45323.008846476921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34</v>
      </c>
    </row>
    <row r="21" spans="1:21" x14ac:dyDescent="0.2">
      <c r="A21" s="50" t="s">
        <v>62</v>
      </c>
      <c r="B21" s="53" t="s">
        <v>42</v>
      </c>
      <c r="C21" s="51">
        <v>51867.313000000002</v>
      </c>
      <c r="D21" s="51" t="s">
        <v>55</v>
      </c>
      <c r="E21">
        <f t="shared" ref="E21:E28" si="0">+(C21-C$7)/C$8</f>
        <v>-12202.999573732191</v>
      </c>
      <c r="F21" s="54">
        <f>ROUND(2*E21,0)/2-1</f>
        <v>-12204</v>
      </c>
      <c r="G21">
        <f t="shared" ref="G21:G28" si="1">+C21-(C$7+F21*C$8)</f>
        <v>0.28867400000308407</v>
      </c>
      <c r="I21">
        <f>+G21</f>
        <v>0.28867400000308407</v>
      </c>
      <c r="O21">
        <f t="shared" ref="O21:O28" ca="1" si="2">+C$11+C$12*$F21</f>
        <v>0.28760302290456674</v>
      </c>
      <c r="Q21" s="2">
        <f t="shared" ref="Q21:Q28" si="3">+C21-15018.5</f>
        <v>36848.813000000002</v>
      </c>
      <c r="R21" s="2"/>
      <c r="S21" s="2"/>
      <c r="T21" s="2"/>
    </row>
    <row r="22" spans="1:21" x14ac:dyDescent="0.2">
      <c r="A22" s="50" t="s">
        <v>69</v>
      </c>
      <c r="B22" s="53" t="s">
        <v>42</v>
      </c>
      <c r="C22" s="51">
        <v>54639.479599999999</v>
      </c>
      <c r="D22" s="51" t="s">
        <v>55</v>
      </c>
      <c r="E22">
        <f t="shared" si="0"/>
        <v>-2595.8015394159124</v>
      </c>
      <c r="F22">
        <f t="shared" ref="F22:F28" si="4">ROUND(2*E22,0)/2</f>
        <v>-2596</v>
      </c>
      <c r="G22">
        <f t="shared" si="1"/>
        <v>5.7265999996161554E-2</v>
      </c>
      <c r="I22">
        <f>+G22</f>
        <v>5.7265999996161554E-2</v>
      </c>
      <c r="O22">
        <f t="shared" ca="1" si="2"/>
        <v>7.3898752397519918E-2</v>
      </c>
      <c r="Q22" s="2">
        <f t="shared" si="3"/>
        <v>39620.979599999999</v>
      </c>
      <c r="R22" s="2"/>
      <c r="S22" s="2"/>
      <c r="T22" s="2"/>
    </row>
    <row r="23" spans="1:21" x14ac:dyDescent="0.2">
      <c r="A23" s="50" t="s">
        <v>96</v>
      </c>
      <c r="B23" s="53" t="s">
        <v>42</v>
      </c>
      <c r="C23" s="51">
        <v>55388.500699999997</v>
      </c>
      <c r="D23" s="51" t="s">
        <v>55</v>
      </c>
      <c r="E23">
        <f t="shared" si="0"/>
        <v>-1.0396776611453457E-4</v>
      </c>
      <c r="F23">
        <f t="shared" si="4"/>
        <v>0</v>
      </c>
      <c r="G23">
        <f t="shared" si="1"/>
        <v>-3.0000002880115062E-5</v>
      </c>
      <c r="I23">
        <f>+G23</f>
        <v>-3.0000002880115062E-5</v>
      </c>
      <c r="O23">
        <f t="shared" ca="1" si="2"/>
        <v>1.6157673480337011E-2</v>
      </c>
      <c r="Q23" s="2">
        <f t="shared" si="3"/>
        <v>40370.000699999997</v>
      </c>
      <c r="R23" s="2"/>
      <c r="S23" s="2"/>
      <c r="T23" s="2"/>
    </row>
    <row r="24" spans="1:21" x14ac:dyDescent="0.2">
      <c r="A24" t="s">
        <v>40</v>
      </c>
      <c r="C24" s="8">
        <f>C$7</f>
        <v>55388.50073</v>
      </c>
      <c r="D24" s="8" t="s">
        <v>14</v>
      </c>
      <c r="E24">
        <f t="shared" si="0"/>
        <v>0</v>
      </c>
      <c r="F24">
        <f t="shared" si="4"/>
        <v>0</v>
      </c>
      <c r="G24">
        <f t="shared" si="1"/>
        <v>0</v>
      </c>
      <c r="H24">
        <f>+G24</f>
        <v>0</v>
      </c>
      <c r="O24">
        <f t="shared" ca="1" si="2"/>
        <v>1.6157673480337011E-2</v>
      </c>
      <c r="Q24" s="2">
        <f t="shared" si="3"/>
        <v>40370.00073</v>
      </c>
      <c r="R24" s="2"/>
      <c r="S24" s="2"/>
      <c r="T24" s="2"/>
    </row>
    <row r="25" spans="1:21" x14ac:dyDescent="0.2">
      <c r="A25" s="50" t="s">
        <v>69</v>
      </c>
      <c r="B25" s="53" t="s">
        <v>42</v>
      </c>
      <c r="C25" s="51">
        <v>55478.292000000001</v>
      </c>
      <c r="D25" s="51" t="s">
        <v>55</v>
      </c>
      <c r="E25">
        <f t="shared" si="0"/>
        <v>311.17989540844263</v>
      </c>
      <c r="F25">
        <f t="shared" si="4"/>
        <v>311</v>
      </c>
      <c r="G25">
        <f t="shared" si="1"/>
        <v>5.1909000001614913E-2</v>
      </c>
      <c r="I25">
        <f>+G25</f>
        <v>5.1909000001614913E-2</v>
      </c>
      <c r="O25">
        <f t="shared" ca="1" si="2"/>
        <v>9.2403100199194878E-3</v>
      </c>
      <c r="Q25" s="2">
        <f t="shared" si="3"/>
        <v>40459.792000000001</v>
      </c>
      <c r="R25" s="2"/>
      <c r="S25" s="2"/>
      <c r="T25" s="2"/>
    </row>
    <row r="26" spans="1:21" x14ac:dyDescent="0.2">
      <c r="A26" s="50" t="s">
        <v>69</v>
      </c>
      <c r="B26" s="53" t="s">
        <v>42</v>
      </c>
      <c r="C26" s="51">
        <v>55794.472199999997</v>
      </c>
      <c r="D26" s="51" t="s">
        <v>55</v>
      </c>
      <c r="E26">
        <f t="shared" si="0"/>
        <v>1406.9314263336353</v>
      </c>
      <c r="F26">
        <f t="shared" si="4"/>
        <v>1407</v>
      </c>
      <c r="G26">
        <f t="shared" si="1"/>
        <v>-1.9787000004725996E-2</v>
      </c>
      <c r="I26">
        <f>+G26</f>
        <v>-1.9787000004725996E-2</v>
      </c>
      <c r="O26">
        <f t="shared" ca="1" si="2"/>
        <v>-1.5137279538336469E-2</v>
      </c>
      <c r="Q26" s="2">
        <f t="shared" si="3"/>
        <v>40775.972199999997</v>
      </c>
      <c r="R26" s="2"/>
      <c r="S26" s="2"/>
      <c r="T26" s="2"/>
    </row>
    <row r="27" spans="1:21" x14ac:dyDescent="0.2">
      <c r="A27" s="30" t="s">
        <v>41</v>
      </c>
      <c r="B27" s="31" t="s">
        <v>42</v>
      </c>
      <c r="C27" s="32">
        <v>56106.395799999998</v>
      </c>
      <c r="D27" s="32">
        <v>2E-3</v>
      </c>
      <c r="E27">
        <f t="shared" si="0"/>
        <v>2487.9313189002937</v>
      </c>
      <c r="F27">
        <f t="shared" si="4"/>
        <v>2488</v>
      </c>
      <c r="G27">
        <f t="shared" si="1"/>
        <v>-1.981800000066869E-2</v>
      </c>
      <c r="K27">
        <f>+G27</f>
        <v>-1.981800000066869E-2</v>
      </c>
      <c r="O27">
        <f t="shared" ca="1" si="2"/>
        <v>-3.9181234203003165E-2</v>
      </c>
      <c r="Q27" s="2">
        <f t="shared" si="3"/>
        <v>41087.895799999998</v>
      </c>
      <c r="R27" s="2"/>
      <c r="S27" s="2"/>
      <c r="T27" s="2"/>
    </row>
    <row r="28" spans="1:21" x14ac:dyDescent="0.2">
      <c r="A28" s="33" t="s">
        <v>43</v>
      </c>
      <c r="B28" s="34" t="s">
        <v>42</v>
      </c>
      <c r="C28" s="35">
        <v>56494.4519</v>
      </c>
      <c r="D28" s="36">
        <v>1.8E-3</v>
      </c>
      <c r="E28">
        <f t="shared" si="0"/>
        <v>3832.7753845940588</v>
      </c>
      <c r="F28">
        <f t="shared" si="4"/>
        <v>3833</v>
      </c>
      <c r="G28">
        <f t="shared" si="1"/>
        <v>-6.4812999997229781E-2</v>
      </c>
      <c r="J28">
        <f>+G28</f>
        <v>-6.4812999997229781E-2</v>
      </c>
      <c r="O28">
        <f t="shared" ca="1" si="2"/>
        <v>-6.9097162994841005E-2</v>
      </c>
      <c r="Q28" s="2">
        <f t="shared" si="3"/>
        <v>41475.9519</v>
      </c>
      <c r="R28" s="2"/>
      <c r="S28" s="2"/>
      <c r="T28" s="2"/>
    </row>
    <row r="29" spans="1:21" x14ac:dyDescent="0.2">
      <c r="A29" s="55" t="s">
        <v>97</v>
      </c>
      <c r="B29" s="56" t="s">
        <v>0</v>
      </c>
      <c r="C29" s="57">
        <v>57515.537129999997</v>
      </c>
      <c r="D29" s="57">
        <v>1E-4</v>
      </c>
      <c r="E29">
        <f>+(C29-C$7)/C$8</f>
        <v>7371.4400573901921</v>
      </c>
      <c r="F29" s="58">
        <f>ROUND(2*E29,0)/2+0.5</f>
        <v>7372</v>
      </c>
      <c r="G29">
        <f>+C29-(C$7+F29*C$8)</f>
        <v>-0.16157200000452576</v>
      </c>
      <c r="K29">
        <f>+G29</f>
        <v>-0.16157200000452576</v>
      </c>
      <c r="O29">
        <f ca="1">+C$11+C$12*$F29</f>
        <v>-0.14781275555566933</v>
      </c>
      <c r="Q29" s="2">
        <f>+C29-15018.5</f>
        <v>42497.037129999997</v>
      </c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97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2"/>
  <sheetViews>
    <sheetView workbookViewId="0">
      <selection activeCell="A14" sqref="A14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45</v>
      </c>
      <c r="I1" s="38" t="s">
        <v>46</v>
      </c>
      <c r="J1" s="39" t="s">
        <v>47</v>
      </c>
    </row>
    <row r="2" spans="1:16" x14ac:dyDescent="0.2">
      <c r="I2" s="40" t="s">
        <v>48</v>
      </c>
      <c r="J2" s="41" t="s">
        <v>49</v>
      </c>
    </row>
    <row r="3" spans="1:16" x14ac:dyDescent="0.2">
      <c r="A3" s="42" t="s">
        <v>50</v>
      </c>
      <c r="I3" s="40" t="s">
        <v>51</v>
      </c>
      <c r="J3" s="41" t="s">
        <v>52</v>
      </c>
    </row>
    <row r="4" spans="1:16" x14ac:dyDescent="0.2">
      <c r="I4" s="40" t="s">
        <v>53</v>
      </c>
      <c r="J4" s="41" t="s">
        <v>52</v>
      </c>
    </row>
    <row r="5" spans="1:16" ht="13.5" thickBot="1" x14ac:dyDescent="0.25">
      <c r="I5" s="43" t="s">
        <v>54</v>
      </c>
      <c r="J5" s="44" t="s">
        <v>55</v>
      </c>
    </row>
    <row r="11" spans="1:16" ht="13.5" thickBot="1" x14ac:dyDescent="0.25"/>
    <row r="12" spans="1:16" ht="12.75" customHeight="1" thickBot="1" x14ac:dyDescent="0.25">
      <c r="A12" s="8" t="str">
        <f t="shared" ref="A12:A18" si="0">P12</f>
        <v>OEJV 0160 </v>
      </c>
      <c r="B12" s="3" t="str">
        <f t="shared" ref="B12:B18" si="1">IF(H12=INT(H12),"I","II")</f>
        <v>I</v>
      </c>
      <c r="C12" s="8">
        <f t="shared" ref="C12:C18" si="2">1*G12</f>
        <v>56106.395799999998</v>
      </c>
      <c r="D12" s="10" t="str">
        <f t="shared" ref="D12:D18" si="3">VLOOKUP(F12,I$1:J$5,2,FALSE)</f>
        <v>vis</v>
      </c>
      <c r="E12" s="45">
        <f>VLOOKUP(C12,Active!C$21:E$973,3,FALSE)</f>
        <v>2487.9313189002937</v>
      </c>
      <c r="F12" s="3" t="s">
        <v>54</v>
      </c>
      <c r="G12" s="10" t="str">
        <f t="shared" ref="G12:G18" si="4">MID(I12,3,LEN(I12)-3)</f>
        <v>56106.3958</v>
      </c>
      <c r="H12" s="8">
        <f t="shared" ref="H12:H18" si="5">1*K12</f>
        <v>80950</v>
      </c>
      <c r="I12" s="46" t="s">
        <v>85</v>
      </c>
      <c r="J12" s="47" t="s">
        <v>86</v>
      </c>
      <c r="K12" s="46" t="s">
        <v>87</v>
      </c>
      <c r="L12" s="46" t="s">
        <v>88</v>
      </c>
      <c r="M12" s="47" t="s">
        <v>66</v>
      </c>
      <c r="N12" s="47" t="s">
        <v>46</v>
      </c>
      <c r="O12" s="48" t="s">
        <v>89</v>
      </c>
      <c r="P12" s="49" t="s">
        <v>90</v>
      </c>
    </row>
    <row r="13" spans="1:16" ht="12.75" customHeight="1" thickBot="1" x14ac:dyDescent="0.25">
      <c r="A13" s="8" t="str">
        <f t="shared" si="0"/>
        <v>BAVM 234 </v>
      </c>
      <c r="B13" s="3" t="str">
        <f t="shared" si="1"/>
        <v>II</v>
      </c>
      <c r="C13" s="8">
        <f t="shared" si="2"/>
        <v>56494.4519</v>
      </c>
      <c r="D13" s="10" t="str">
        <f t="shared" si="3"/>
        <v>vis</v>
      </c>
      <c r="E13" s="45">
        <f>VLOOKUP(C13,Active!C$21:E$973,3,FALSE)</f>
        <v>3832.7753845940588</v>
      </c>
      <c r="F13" s="3" t="s">
        <v>54</v>
      </c>
      <c r="G13" s="10" t="str">
        <f t="shared" si="4"/>
        <v>56494.4519</v>
      </c>
      <c r="H13" s="8">
        <f t="shared" si="5"/>
        <v>82294.5</v>
      </c>
      <c r="I13" s="46" t="s">
        <v>91</v>
      </c>
      <c r="J13" s="47" t="s">
        <v>92</v>
      </c>
      <c r="K13" s="46" t="s">
        <v>93</v>
      </c>
      <c r="L13" s="46" t="s">
        <v>94</v>
      </c>
      <c r="M13" s="47" t="s">
        <v>66</v>
      </c>
      <c r="N13" s="47" t="s">
        <v>67</v>
      </c>
      <c r="O13" s="48" t="s">
        <v>68</v>
      </c>
      <c r="P13" s="49" t="s">
        <v>95</v>
      </c>
    </row>
    <row r="14" spans="1:16" ht="12.75" customHeight="1" thickBot="1" x14ac:dyDescent="0.25">
      <c r="A14" s="8" t="str">
        <f t="shared" si="0"/>
        <v>BAVM 225 </v>
      </c>
      <c r="B14" s="3" t="str">
        <f t="shared" si="1"/>
        <v>I</v>
      </c>
      <c r="C14" s="8">
        <f t="shared" si="2"/>
        <v>54639.479599999999</v>
      </c>
      <c r="D14" s="10" t="str">
        <f t="shared" si="3"/>
        <v>vis</v>
      </c>
      <c r="E14" s="45">
        <f>VLOOKUP(C14,Active!C$21:E$973,3,FALSE)</f>
        <v>-2595.8015394159124</v>
      </c>
      <c r="F14" s="3" t="s">
        <v>54</v>
      </c>
      <c r="G14" s="10" t="str">
        <f t="shared" si="4"/>
        <v>54639.4796</v>
      </c>
      <c r="H14" s="8">
        <f t="shared" si="5"/>
        <v>75866</v>
      </c>
      <c r="I14" s="46" t="s">
        <v>63</v>
      </c>
      <c r="J14" s="47" t="s">
        <v>64</v>
      </c>
      <c r="K14" s="46">
        <v>75866</v>
      </c>
      <c r="L14" s="46" t="s">
        <v>65</v>
      </c>
      <c r="M14" s="47" t="s">
        <v>66</v>
      </c>
      <c r="N14" s="47" t="s">
        <v>67</v>
      </c>
      <c r="O14" s="48" t="s">
        <v>68</v>
      </c>
      <c r="P14" s="49" t="s">
        <v>69</v>
      </c>
    </row>
    <row r="15" spans="1:16" ht="12.75" customHeight="1" thickBot="1" x14ac:dyDescent="0.25">
      <c r="A15" s="8" t="str">
        <f t="shared" si="0"/>
        <v>OEJV 0137 </v>
      </c>
      <c r="B15" s="3" t="str">
        <f t="shared" si="1"/>
        <v>I</v>
      </c>
      <c r="C15" s="8">
        <f t="shared" si="2"/>
        <v>55388.500699999997</v>
      </c>
      <c r="D15" s="10" t="str">
        <f t="shared" si="3"/>
        <v>vis</v>
      </c>
      <c r="E15" s="45">
        <f>VLOOKUP(C15,Active!C$21:E$973,3,FALSE)</f>
        <v>-1.0396776611453457E-4</v>
      </c>
      <c r="F15" s="3" t="s">
        <v>54</v>
      </c>
      <c r="G15" s="10" t="str">
        <f t="shared" si="4"/>
        <v>55388.5007</v>
      </c>
      <c r="H15" s="8">
        <f t="shared" si="5"/>
        <v>78462</v>
      </c>
      <c r="I15" s="46" t="s">
        <v>70</v>
      </c>
      <c r="J15" s="47" t="s">
        <v>71</v>
      </c>
      <c r="K15" s="46" t="s">
        <v>72</v>
      </c>
      <c r="L15" s="46" t="s">
        <v>73</v>
      </c>
      <c r="M15" s="47" t="s">
        <v>66</v>
      </c>
      <c r="N15" s="47" t="s">
        <v>74</v>
      </c>
      <c r="O15" s="48" t="s">
        <v>75</v>
      </c>
      <c r="P15" s="49" t="s">
        <v>76</v>
      </c>
    </row>
    <row r="16" spans="1:16" ht="12.75" customHeight="1" thickBot="1" x14ac:dyDescent="0.25">
      <c r="A16" s="8" t="str">
        <f t="shared" si="0"/>
        <v>BAVM 225 </v>
      </c>
      <c r="B16" s="3" t="str">
        <f t="shared" si="1"/>
        <v>I</v>
      </c>
      <c r="C16" s="8">
        <f t="shared" si="2"/>
        <v>55478.292000000001</v>
      </c>
      <c r="D16" s="10" t="str">
        <f t="shared" si="3"/>
        <v>vis</v>
      </c>
      <c r="E16" s="45">
        <f>VLOOKUP(C16,Active!C$21:E$973,3,FALSE)</f>
        <v>311.17989540844263</v>
      </c>
      <c r="F16" s="3" t="s">
        <v>54</v>
      </c>
      <c r="G16" s="10" t="str">
        <f t="shared" si="4"/>
        <v>55478.2920</v>
      </c>
      <c r="H16" s="8">
        <f t="shared" si="5"/>
        <v>78773</v>
      </c>
      <c r="I16" s="46" t="s">
        <v>77</v>
      </c>
      <c r="J16" s="47" t="s">
        <v>78</v>
      </c>
      <c r="K16" s="46" t="s">
        <v>79</v>
      </c>
      <c r="L16" s="46" t="s">
        <v>80</v>
      </c>
      <c r="M16" s="47" t="s">
        <v>66</v>
      </c>
      <c r="N16" s="47" t="s">
        <v>67</v>
      </c>
      <c r="O16" s="48" t="s">
        <v>68</v>
      </c>
      <c r="P16" s="49" t="s">
        <v>69</v>
      </c>
    </row>
    <row r="17" spans="1:16" ht="12.75" customHeight="1" thickBot="1" x14ac:dyDescent="0.25">
      <c r="A17" s="8" t="str">
        <f t="shared" si="0"/>
        <v>BAVM 225 </v>
      </c>
      <c r="B17" s="3" t="str">
        <f t="shared" si="1"/>
        <v>I</v>
      </c>
      <c r="C17" s="8">
        <f t="shared" si="2"/>
        <v>55794.472199999997</v>
      </c>
      <c r="D17" s="10" t="str">
        <f t="shared" si="3"/>
        <v>vis</v>
      </c>
      <c r="E17" s="45">
        <f>VLOOKUP(C17,Active!C$21:E$973,3,FALSE)</f>
        <v>1406.9314263336353</v>
      </c>
      <c r="F17" s="3" t="s">
        <v>54</v>
      </c>
      <c r="G17" s="10" t="str">
        <f t="shared" si="4"/>
        <v>55794.4722</v>
      </c>
      <c r="H17" s="8">
        <f t="shared" si="5"/>
        <v>79869</v>
      </c>
      <c r="I17" s="46" t="s">
        <v>81</v>
      </c>
      <c r="J17" s="47" t="s">
        <v>82</v>
      </c>
      <c r="K17" s="46" t="s">
        <v>83</v>
      </c>
      <c r="L17" s="46" t="s">
        <v>84</v>
      </c>
      <c r="M17" s="47" t="s">
        <v>66</v>
      </c>
      <c r="N17" s="47" t="s">
        <v>67</v>
      </c>
      <c r="O17" s="48" t="s">
        <v>68</v>
      </c>
      <c r="P17" s="49" t="s">
        <v>69</v>
      </c>
    </row>
    <row r="18" spans="1:16" ht="12.75" customHeight="1" thickBot="1" x14ac:dyDescent="0.25">
      <c r="A18" s="8" t="str">
        <f t="shared" si="0"/>
        <v> BBS 124 </v>
      </c>
      <c r="B18" s="3" t="str">
        <f t="shared" si="1"/>
        <v>I</v>
      </c>
      <c r="C18" s="8">
        <f t="shared" si="2"/>
        <v>51867.313000000002</v>
      </c>
      <c r="D18" s="10" t="str">
        <f t="shared" si="3"/>
        <v>vis</v>
      </c>
      <c r="E18" s="45">
        <f>VLOOKUP(C18,Active!C$21:E$973,3,FALSE)</f>
        <v>-12202.999573732191</v>
      </c>
      <c r="F18" s="3" t="s">
        <v>54</v>
      </c>
      <c r="G18" s="10" t="str">
        <f t="shared" si="4"/>
        <v>51867.313</v>
      </c>
      <c r="H18" s="8">
        <f t="shared" si="5"/>
        <v>66259</v>
      </c>
      <c r="I18" s="46" t="s">
        <v>56</v>
      </c>
      <c r="J18" s="47" t="s">
        <v>57</v>
      </c>
      <c r="K18" s="46">
        <v>66259</v>
      </c>
      <c r="L18" s="46" t="s">
        <v>58</v>
      </c>
      <c r="M18" s="47" t="s">
        <v>59</v>
      </c>
      <c r="N18" s="47" t="s">
        <v>60</v>
      </c>
      <c r="O18" s="48" t="s">
        <v>61</v>
      </c>
      <c r="P18" s="48" t="s">
        <v>62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</sheetData>
  <phoneticPr fontId="7" type="noConversion"/>
  <hyperlinks>
    <hyperlink ref="P14" r:id="rId1" display="http://www.bav-astro.de/sfs/BAVM_link.php?BAVMnr=225"/>
    <hyperlink ref="P15" r:id="rId2" display="http://var.astro.cz/oejv/issues/oejv0137.pdf"/>
    <hyperlink ref="P16" r:id="rId3" display="http://www.bav-astro.de/sfs/BAVM_link.php?BAVMnr=225"/>
    <hyperlink ref="P17" r:id="rId4" display="http://www.bav-astro.de/sfs/BAVM_link.php?BAVMnr=225"/>
    <hyperlink ref="P12" r:id="rId5" display="http://var.astro.cz/oejv/issues/oejv0160.pdf"/>
    <hyperlink ref="P13" r:id="rId6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2024-01-31T05:12:49Z</dcterms:modified>
</cp:coreProperties>
</file>