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B341B6-94B3-476F-8141-DFFA5A5DED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C8" i="1"/>
  <c r="E22" i="1"/>
  <c r="F22" i="1"/>
  <c r="G22" i="1"/>
  <c r="I22" i="1"/>
  <c r="E23" i="1"/>
  <c r="F23" i="1"/>
  <c r="G23" i="1"/>
  <c r="I23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C24" i="1"/>
  <c r="E24" i="1"/>
  <c r="F24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42" i="1"/>
  <c r="F42" i="1"/>
  <c r="G42" i="1"/>
  <c r="K42" i="1"/>
  <c r="E43" i="1"/>
  <c r="F43" i="1"/>
  <c r="G43" i="1"/>
  <c r="K43" i="1"/>
  <c r="E30" i="1"/>
  <c r="F30" i="1"/>
  <c r="G30" i="1"/>
  <c r="K30" i="1"/>
  <c r="E31" i="1"/>
  <c r="F31" i="1"/>
  <c r="G31" i="1"/>
  <c r="K31" i="1"/>
  <c r="E32" i="1"/>
  <c r="F32" i="1"/>
  <c r="G32" i="1"/>
  <c r="K32" i="1"/>
  <c r="E25" i="1"/>
  <c r="F25" i="1"/>
  <c r="G25" i="1"/>
  <c r="K25" i="1"/>
  <c r="D9" i="1"/>
  <c r="C9" i="1"/>
  <c r="Q21" i="1"/>
  <c r="Q22" i="1"/>
  <c r="Q23" i="1"/>
  <c r="Q33" i="1"/>
  <c r="Q34" i="1"/>
  <c r="Q35" i="1"/>
  <c r="Q36" i="1"/>
  <c r="Q37" i="1"/>
  <c r="Q38" i="1"/>
  <c r="Q39" i="1"/>
  <c r="Q40" i="1"/>
  <c r="Q41" i="1"/>
  <c r="G19" i="2"/>
  <c r="C19" i="2"/>
  <c r="E19" i="2"/>
  <c r="G18" i="2"/>
  <c r="C18" i="2"/>
  <c r="E18" i="2"/>
  <c r="G17" i="2"/>
  <c r="C17" i="2"/>
  <c r="E17" i="2"/>
  <c r="G16" i="2"/>
  <c r="C16" i="2"/>
  <c r="E16" i="2"/>
  <c r="G32" i="2"/>
  <c r="C32" i="2"/>
  <c r="E32" i="2"/>
  <c r="G15" i="2"/>
  <c r="C15" i="2"/>
  <c r="E15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4" i="2"/>
  <c r="C14" i="2"/>
  <c r="E14" i="2"/>
  <c r="G13" i="2"/>
  <c r="C13" i="2"/>
  <c r="E13" i="2"/>
  <c r="G12" i="2"/>
  <c r="C12" i="2"/>
  <c r="E12" i="2"/>
  <c r="G11" i="2"/>
  <c r="C11" i="2"/>
  <c r="E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32" i="2"/>
  <c r="B32" i="2"/>
  <c r="D32" i="2"/>
  <c r="A32" i="2"/>
  <c r="H15" i="2"/>
  <c r="B15" i="2"/>
  <c r="D15" i="2"/>
  <c r="A15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8" i="1"/>
  <c r="Q42" i="1"/>
  <c r="Q43" i="1"/>
  <c r="Q29" i="1"/>
  <c r="F16" i="1"/>
  <c r="F17" i="1" s="1"/>
  <c r="C17" i="1"/>
  <c r="Q25" i="1"/>
  <c r="Q30" i="1"/>
  <c r="Q31" i="1"/>
  <c r="Q32" i="1"/>
  <c r="Q27" i="1"/>
  <c r="Q26" i="1"/>
  <c r="Q24" i="1"/>
  <c r="G21" i="1"/>
  <c r="G24" i="1"/>
  <c r="H24" i="1"/>
  <c r="I21" i="1"/>
  <c r="C12" i="1"/>
  <c r="C11" i="1"/>
  <c r="O40" i="1" l="1"/>
  <c r="O43" i="1"/>
  <c r="O33" i="1"/>
  <c r="O30" i="1"/>
  <c r="O29" i="1"/>
  <c r="O38" i="1"/>
  <c r="O25" i="1"/>
  <c r="O42" i="1"/>
  <c r="O27" i="1"/>
  <c r="O28" i="1"/>
  <c r="O26" i="1"/>
  <c r="O21" i="1"/>
  <c r="O41" i="1"/>
  <c r="O24" i="1"/>
  <c r="O36" i="1"/>
  <c r="O34" i="1"/>
  <c r="O39" i="1"/>
  <c r="O35" i="1"/>
  <c r="O37" i="1"/>
  <c r="O22" i="1"/>
  <c r="C15" i="1"/>
  <c r="O23" i="1"/>
  <c r="O31" i="1"/>
  <c r="O3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<sst xmlns="http://schemas.openxmlformats.org/spreadsheetml/2006/main" count="289" uniqueCount="153">
  <si>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</si>
  <si>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</si>
  <si>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</si>
  <si>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</si>
  <si>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</si>
  <si>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</si>
  <si>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</si>
  <si>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</si>
  <si>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</si>
  <si>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</si>
  <si>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</si>
  <si>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</si>
  <si>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</si>
  <si>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</si>
  <si>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</si>
  <si>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</si>
  <si>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</si>
  <si>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</si>
  <si>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</si>
  <si>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</si>
  <si>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</si>
  <si>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</si>
  <si>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</si>
  <si>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</si>
  <si>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</si>
  <si>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</si>
  <si>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</si>
  <si>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</si>
  <si>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EA/DM</t>
  </si>
  <si>
    <t>IBVS 5296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</si>
  <si>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</si>
  <si>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</si>
  <si>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</si>
  <si>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</si>
  <si>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</si>
  <si>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</si>
  <si>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</si>
  <si>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5837</t>
  </si>
  <si>
    <t>I</t>
  </si>
  <si>
    <t>OEJV 0074</t>
  </si>
  <si>
    <t>CCD</t>
  </si>
  <si>
    <t>OEJV 0107</t>
  </si>
  <si>
    <t>Add cycle</t>
  </si>
  <si>
    <t>Old Cycle</t>
  </si>
  <si>
    <t>IBVS 6010</t>
  </si>
  <si>
    <t>JAVSO..38..183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</si>
  <si>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</si>
  <si>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</si>
  <si>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</si>
  <si>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</si>
  <si>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</si>
  <si>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</si>
  <si>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</si>
  <si>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</si>
  <si>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</si>
  <si>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</si>
  <si>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</si>
  <si>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2451698.47616 </t>
  </si>
  <si>
    <t> 02.06.2000 23:25 </t>
  </si>
  <si>
    <t> 0.03106 </t>
  </si>
  <si>
    <t>C </t>
  </si>
  <si>
    <t>o</t>
  </si>
  <si>
    <t> J.Šafár </t>
  </si>
  <si>
    <t>OEJV 0074 </t>
  </si>
  <si>
    <t>2451698.48220 </t>
  </si>
  <si>
    <t> 02.06.2000 23:34 </t>
  </si>
  <si>
    <t> 0.03710 </t>
  </si>
  <si>
    <t> P.Hájek </t>
  </si>
  <si>
    <t>2451757.40880 </t>
  </si>
  <si>
    <t> 31.07.2000 21:48 </t>
  </si>
  <si>
    <t> 0.03009 </t>
  </si>
  <si>
    <t> K.Koss </t>
  </si>
  <si>
    <t>2451812.4150 </t>
  </si>
  <si>
    <t> 24.09.2000 21:57 </t>
  </si>
  <si>
    <t> 0.0316 </t>
  </si>
  <si>
    <t>E </t>
  </si>
  <si>
    <t> K.&amp; M.Rätz </t>
  </si>
  <si>
    <t>BAVM 152 </t>
  </si>
  <si>
    <t>2451877.2425 </t>
  </si>
  <si>
    <t> 28.11.2000 17:49 </t>
  </si>
  <si>
    <t> 0.0321 </t>
  </si>
  <si>
    <t>?</t>
  </si>
  <si>
    <t> E.Blättler </t>
  </si>
  <si>
    <t> BBS 124 </t>
  </si>
  <si>
    <t>2452085.4737 </t>
  </si>
  <si>
    <t> 24.06.2001 23:22 </t>
  </si>
  <si>
    <t> 0.0312 </t>
  </si>
  <si>
    <t> R.Diethelm </t>
  </si>
  <si>
    <t> BBS 125 </t>
  </si>
  <si>
    <t>2452144.4076 </t>
  </si>
  <si>
    <t> 22.08.2001 21:46 </t>
  </si>
  <si>
    <t> 0.0315 </t>
  </si>
  <si>
    <t> BBS 126 </t>
  </si>
  <si>
    <t>2452605.076 </t>
  </si>
  <si>
    <t> 26.11.2002 13:49 </t>
  </si>
  <si>
    <t> 0.036 </t>
  </si>
  <si>
    <t> P.Sobotka (ESA INTEGRAL) </t>
  </si>
  <si>
    <t>IBVS 5809 </t>
  </si>
  <si>
    <t>2452606.055 </t>
  </si>
  <si>
    <t> 27.11.2002 13:19 </t>
  </si>
  <si>
    <t> 0.032 </t>
  </si>
  <si>
    <t>2452607.0368 </t>
  </si>
  <si>
    <t> 28.11.2002 12:52 </t>
  </si>
  <si>
    <t> 0.0319 </t>
  </si>
  <si>
    <t>2452608.0198 </t>
  </si>
  <si>
    <t> 29.11.2002 12:28 </t>
  </si>
  <si>
    <t> 0.0327 </t>
  </si>
  <si>
    <t>2452608.9952 </t>
  </si>
  <si>
    <t> 30.11.2002 11:53 </t>
  </si>
  <si>
    <t> 0.0259 </t>
  </si>
  <si>
    <t>2452609.9838 </t>
  </si>
  <si>
    <t> 01.12.2002 11:36 </t>
  </si>
  <si>
    <t> 0.0322 </t>
  </si>
  <si>
    <t>2452610.9648 </t>
  </si>
  <si>
    <t> 02.12.2002 11:09 </t>
  </si>
  <si>
    <t> 0.0310 </t>
  </si>
  <si>
    <t>2452613.9121 </t>
  </si>
  <si>
    <t> 05.12.2002 09:53 </t>
  </si>
  <si>
    <t>2452615.8806 </t>
  </si>
  <si>
    <t> 07.12.2002 09:08 </t>
  </si>
  <si>
    <t> 0.0357 </t>
  </si>
  <si>
    <t>2454295.4902 </t>
  </si>
  <si>
    <t> 13.07.2007 23:45 </t>
  </si>
  <si>
    <t> 0.0374 </t>
  </si>
  <si>
    <t>IBVS 5837 </t>
  </si>
  <si>
    <t>2454297.4533 </t>
  </si>
  <si>
    <t> 15.07.2007 22:52 </t>
  </si>
  <si>
    <t> 0.0361 </t>
  </si>
  <si>
    <t>R</t>
  </si>
  <si>
    <t> M.Lehky </t>
  </si>
  <si>
    <t>OEJV 0107 </t>
  </si>
  <si>
    <t>2455077.3397 </t>
  </si>
  <si>
    <t> 02.09.2009 20:09 </t>
  </si>
  <si>
    <t> 0.0344 </t>
  </si>
  <si>
    <t>ns</t>
  </si>
  <si>
    <t> Y.Ogmen </t>
  </si>
  <si>
    <t> JAAVSO 38;120 </t>
  </si>
  <si>
    <t>2455081.2687 </t>
  </si>
  <si>
    <t> 06.09.2009 18:26 </t>
  </si>
  <si>
    <t> 0.0345 </t>
  </si>
  <si>
    <t>2455461.3940 </t>
  </si>
  <si>
    <t> 21.09.2010 21:27 </t>
  </si>
  <si>
    <t> 0.0380 </t>
  </si>
  <si>
    <t>-I</t>
  </si>
  <si>
    <t> F.Agerer </t>
  </si>
  <si>
    <t>BAVM 215 </t>
  </si>
  <si>
    <t>2455784.5494 </t>
  </si>
  <si>
    <t> 11.08.2011 01:11 </t>
  </si>
  <si>
    <t>11470</t>
  </si>
  <si>
    <t> 0.0408 </t>
  </si>
  <si>
    <t>BAVM 220 </t>
  </si>
  <si>
    <t>II</t>
  </si>
  <si>
    <t>V0809 Cyg / gsc 2691-2381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</si>
</sst>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1" applyNumberFormat="0" applyFont="0" applyFill="0" applyAlignment="0" applyProtection="0"/>
  </cellStyleXfs>
  <cellXfs count="66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>
      <alignment vertical="top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9" fillId="0" borderId="0" xfId="7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0" xfId="0" quotePrefix="1">
      <alignment vertical="top"/>
    </xf>
    <xf numFmtId="0" fontId="4" fillId="2" borderId="10" xfId="0" applyFont="1" applyFill="1" applyBorder="1" applyAlignment="1">
      <alignment horizontal="left" vertical="top" wrapText="1" indent="1"/>
    </xf>
    <xf numFmtId="0" fontId="4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right" vertical="top" wrapText="1"/>
    </xf>
    <xf numFmtId="0" fontId="19" fillId="2" borderId="10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1" xfId="0" applyBorder="1" applyAlignment="1">
      <alignment horizontal="left"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 vertical="top"/>
    </xf>
    <xf numFmtId="0" fontId="13" fillId="0" borderId="0" xfId="0" applyFont="1" applyAlignment="1">
      <alignment horizontal="right" vertical="top"/>
    </xf>
    <xf numFmtId="0" fontId="21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V0809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3-4BB7-AF87-94C2D28B8F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3.2118399998580571E-2</c:v>
                </c:pt>
                <c:pt idx="1">
                  <c:v>3.1236800001352094E-2</c:v>
                </c:pt>
                <c:pt idx="2">
                  <c:v>3.1528799998341128E-2</c:v>
                </c:pt>
                <c:pt idx="12">
                  <c:v>3.5559600000851788E-2</c:v>
                </c:pt>
                <c:pt idx="13">
                  <c:v>3.2332800001313444E-2</c:v>
                </c:pt>
                <c:pt idx="14">
                  <c:v>3.1906000003800727E-2</c:v>
                </c:pt>
                <c:pt idx="15">
                  <c:v>3.2679200005077291E-2</c:v>
                </c:pt>
                <c:pt idx="16">
                  <c:v>2.5852400001895148E-2</c:v>
                </c:pt>
                <c:pt idx="17">
                  <c:v>3.2225600007222965E-2</c:v>
                </c:pt>
                <c:pt idx="18">
                  <c:v>3.0998800000816118E-2</c:v>
                </c:pt>
                <c:pt idx="19">
                  <c:v>3.1618399996659718E-2</c:v>
                </c:pt>
                <c:pt idx="20">
                  <c:v>3.5664799994265195E-2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3-4BB7-AF87-94C2D28B8F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3.1587199999194127E-2</c:v>
                </c:pt>
                <c:pt idx="6">
                  <c:v>3.7436800004797988E-2</c:v>
                </c:pt>
                <c:pt idx="7">
                  <c:v>3.8025200003175996E-2</c:v>
                </c:pt>
                <c:pt idx="8">
                  <c:v>4.0808000005199574E-2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3-4BB7-AF87-94C2D28B8F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3.6103200000070501E-2</c:v>
                </c:pt>
                <c:pt idx="9">
                  <c:v>3.1055999999807682E-2</c:v>
                </c:pt>
                <c:pt idx="10">
                  <c:v>3.7096000000019558E-2</c:v>
                </c:pt>
                <c:pt idx="11">
                  <c:v>3.0087999999523163E-2</c:v>
                </c:pt>
                <c:pt idx="21">
                  <c:v>3.4403999998176005E-2</c:v>
                </c:pt>
                <c:pt idx="22">
                  <c:v>3.4496799999033101E-2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3-4BB7-AF87-94C2D28B8F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3-4BB7-AF87-94C2D28B8F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3-4BB7-AF87-94C2D28B8F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63-4BB7-AF87-94C2D28B8F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3.146318208386803E-2</c:v>
                </c:pt>
                <c:pt idx="1">
                  <c:v>3.1813834795718227E-2</c:v>
                </c:pt>
                <c:pt idx="2">
                  <c:v>3.1913076129260733E-2</c:v>
                </c:pt>
                <c:pt idx="3">
                  <c:v>9.961263998403691E-5</c:v>
                </c:pt>
                <c:pt idx="4">
                  <c:v>3.5538692848013698E-2</c:v>
                </c:pt>
                <c:pt idx="5">
                  <c:v>3.1354016616971271E-2</c:v>
                </c:pt>
                <c:pt idx="6">
                  <c:v>3.5535384803562282E-2</c:v>
                </c:pt>
                <c:pt idx="7">
                  <c:v>3.7498709185478235E-2</c:v>
                </c:pt>
                <c:pt idx="8">
                  <c:v>3.8042882497736318E-2</c:v>
                </c:pt>
                <c:pt idx="9">
                  <c:v>3.1162150038789086E-2</c:v>
                </c:pt>
                <c:pt idx="10">
                  <c:v>3.1162150038789086E-2</c:v>
                </c:pt>
                <c:pt idx="11">
                  <c:v>3.1261391372331596E-2</c:v>
                </c:pt>
                <c:pt idx="12">
                  <c:v>3.2688812553118007E-2</c:v>
                </c:pt>
                <c:pt idx="13">
                  <c:v>3.2690466575343712E-2</c:v>
                </c:pt>
                <c:pt idx="14">
                  <c:v>3.2692120597569423E-2</c:v>
                </c:pt>
                <c:pt idx="15">
                  <c:v>3.2693774619795134E-2</c:v>
                </c:pt>
                <c:pt idx="16">
                  <c:v>3.2695428642020838E-2</c:v>
                </c:pt>
                <c:pt idx="17">
                  <c:v>3.2697082664246549E-2</c:v>
                </c:pt>
                <c:pt idx="18">
                  <c:v>3.2698736686472253E-2</c:v>
                </c:pt>
                <c:pt idx="19">
                  <c:v>3.2703698753149379E-2</c:v>
                </c:pt>
                <c:pt idx="20">
                  <c:v>3.2707006797600795E-2</c:v>
                </c:pt>
                <c:pt idx="21">
                  <c:v>3.6851986495226224E-2</c:v>
                </c:pt>
                <c:pt idx="22">
                  <c:v>3.6858602584129055E-2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63-4BB7-AF87-94C2D28B8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262360"/>
        <c:axId val="1"/>
      </c:scatterChart>
      <c:valAx>
        <c:axId val="77826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26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1632469608503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V0809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4-4983-8AAD-42A5AA4FE98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3.2118399998580571E-2</c:v>
                </c:pt>
                <c:pt idx="1">
                  <c:v>3.1236800001352094E-2</c:v>
                </c:pt>
                <c:pt idx="2">
                  <c:v>3.1528799998341128E-2</c:v>
                </c:pt>
                <c:pt idx="12">
                  <c:v>3.5559600000851788E-2</c:v>
                </c:pt>
                <c:pt idx="13">
                  <c:v>3.2332800001313444E-2</c:v>
                </c:pt>
                <c:pt idx="14">
                  <c:v>3.1906000003800727E-2</c:v>
                </c:pt>
                <c:pt idx="15">
                  <c:v>3.2679200005077291E-2</c:v>
                </c:pt>
                <c:pt idx="16">
                  <c:v>2.5852400001895148E-2</c:v>
                </c:pt>
                <c:pt idx="17">
                  <c:v>3.2225600007222965E-2</c:v>
                </c:pt>
                <c:pt idx="18">
                  <c:v>3.0998800000816118E-2</c:v>
                </c:pt>
                <c:pt idx="19">
                  <c:v>3.1618399996659718E-2</c:v>
                </c:pt>
                <c:pt idx="20">
                  <c:v>3.5664799994265195E-2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14-4983-8AAD-42A5AA4FE9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3.1587199999194127E-2</c:v>
                </c:pt>
                <c:pt idx="6">
                  <c:v>3.7436800004797988E-2</c:v>
                </c:pt>
                <c:pt idx="7">
                  <c:v>3.8025200003175996E-2</c:v>
                </c:pt>
                <c:pt idx="8">
                  <c:v>4.0808000005199574E-2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14-4983-8AAD-42A5AA4FE9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3.6103200000070501E-2</c:v>
                </c:pt>
                <c:pt idx="9">
                  <c:v>3.1055999999807682E-2</c:v>
                </c:pt>
                <c:pt idx="10">
                  <c:v>3.7096000000019558E-2</c:v>
                </c:pt>
                <c:pt idx="11">
                  <c:v>3.0087999999523163E-2</c:v>
                </c:pt>
                <c:pt idx="21">
                  <c:v>3.4403999998176005E-2</c:v>
                </c:pt>
                <c:pt idx="22">
                  <c:v>3.4496799999033101E-2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14-4983-8AAD-42A5AA4FE9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14-4983-8AAD-42A5AA4FE9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14-4983-8AAD-42A5AA4FE9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2.0000000000000001E-4</c:v>
                  </c:pt>
                  <c:pt idx="7">
                    <c:v>2.7000000000000001E-3</c:v>
                  </c:pt>
                  <c:pt idx="8">
                    <c:v>1.8E-3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14-4983-8AAD-42A5AA4FE9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9481</c:v>
                </c:pt>
                <c:pt idx="1">
                  <c:v>9587</c:v>
                </c:pt>
                <c:pt idx="2">
                  <c:v>9617</c:v>
                </c:pt>
                <c:pt idx="3">
                  <c:v>0</c:v>
                </c:pt>
                <c:pt idx="4">
                  <c:v>10713</c:v>
                </c:pt>
                <c:pt idx="5">
                  <c:v>9448</c:v>
                </c:pt>
                <c:pt idx="6">
                  <c:v>10712</c:v>
                </c:pt>
                <c:pt idx="7">
                  <c:v>11305.5</c:v>
                </c:pt>
                <c:pt idx="8">
                  <c:v>11470</c:v>
                </c:pt>
                <c:pt idx="9">
                  <c:v>9390</c:v>
                </c:pt>
                <c:pt idx="10">
                  <c:v>9390</c:v>
                </c:pt>
                <c:pt idx="11">
                  <c:v>9420</c:v>
                </c:pt>
                <c:pt idx="12">
                  <c:v>9851.5</c:v>
                </c:pt>
                <c:pt idx="13">
                  <c:v>9852</c:v>
                </c:pt>
                <c:pt idx="14">
                  <c:v>9852.5</c:v>
                </c:pt>
                <c:pt idx="15">
                  <c:v>9853</c:v>
                </c:pt>
                <c:pt idx="16">
                  <c:v>9853.5</c:v>
                </c:pt>
                <c:pt idx="17">
                  <c:v>9854</c:v>
                </c:pt>
                <c:pt idx="18">
                  <c:v>9854.5</c:v>
                </c:pt>
                <c:pt idx="19">
                  <c:v>9856</c:v>
                </c:pt>
                <c:pt idx="20">
                  <c:v>9857</c:v>
                </c:pt>
                <c:pt idx="21">
                  <c:v>11110</c:v>
                </c:pt>
                <c:pt idx="22">
                  <c:v>11112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3.146318208386803E-2</c:v>
                </c:pt>
                <c:pt idx="1">
                  <c:v>3.1813834795718227E-2</c:v>
                </c:pt>
                <c:pt idx="2">
                  <c:v>3.1913076129260733E-2</c:v>
                </c:pt>
                <c:pt idx="3">
                  <c:v>9.961263998403691E-5</c:v>
                </c:pt>
                <c:pt idx="4">
                  <c:v>3.5538692848013698E-2</c:v>
                </c:pt>
                <c:pt idx="5">
                  <c:v>3.1354016616971271E-2</c:v>
                </c:pt>
                <c:pt idx="6">
                  <c:v>3.5535384803562282E-2</c:v>
                </c:pt>
                <c:pt idx="7">
                  <c:v>3.7498709185478235E-2</c:v>
                </c:pt>
                <c:pt idx="8">
                  <c:v>3.8042882497736318E-2</c:v>
                </c:pt>
                <c:pt idx="9">
                  <c:v>3.1162150038789086E-2</c:v>
                </c:pt>
                <c:pt idx="10">
                  <c:v>3.1162150038789086E-2</c:v>
                </c:pt>
                <c:pt idx="11">
                  <c:v>3.1261391372331596E-2</c:v>
                </c:pt>
                <c:pt idx="12">
                  <c:v>3.2688812553118007E-2</c:v>
                </c:pt>
                <c:pt idx="13">
                  <c:v>3.2690466575343712E-2</c:v>
                </c:pt>
                <c:pt idx="14">
                  <c:v>3.2692120597569423E-2</c:v>
                </c:pt>
                <c:pt idx="15">
                  <c:v>3.2693774619795134E-2</c:v>
                </c:pt>
                <c:pt idx="16">
                  <c:v>3.2695428642020838E-2</c:v>
                </c:pt>
                <c:pt idx="17">
                  <c:v>3.2697082664246549E-2</c:v>
                </c:pt>
                <c:pt idx="18">
                  <c:v>3.2698736686472253E-2</c:v>
                </c:pt>
                <c:pt idx="19">
                  <c:v>3.2703698753149379E-2</c:v>
                </c:pt>
                <c:pt idx="20">
                  <c:v>3.2707006797600795E-2</c:v>
                </c:pt>
                <c:pt idx="21">
                  <c:v>3.6851986495226224E-2</c:v>
                </c:pt>
                <c:pt idx="22">
                  <c:v>3.6858602584129055E-2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14-4983-8AAD-42A5AA4FE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262360"/>
        <c:axId val="1"/>
      </c:scatterChart>
      <c:valAx>
        <c:axId val="778262360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26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1632469608503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161925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99B35A9-BD4D-80F8-646D-E14C4F611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247650</xdr:colOff>
      <xdr:row>0</xdr:row>
      <xdr:rowOff>0</xdr:rowOff>
    </xdr:from>
    <xdr:to>
      <xdr:col>26</xdr:col>
      <xdr:colOff>476250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DC8A55-6ED5-4A67-AE79-984E7F1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09" TargetMode="External"/><Relationship Id="rId13" Type="http://schemas.openxmlformats.org/officeDocument/2006/relationships/hyperlink" Target="http://www.konkoly.hu/cgi-bin/IBVS?5809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809" TargetMode="External"/><Relationship Id="rId12" Type="http://schemas.openxmlformats.org/officeDocument/2006/relationships/hyperlink" Target="http://www.konkoly.hu/cgi-bin/IBVS?5809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809" TargetMode="External"/><Relationship Id="rId1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5809" TargetMode="External"/><Relationship Id="rId15" Type="http://schemas.openxmlformats.org/officeDocument/2006/relationships/hyperlink" Target="http://var.astro.cz/oejv/issues/oejv0107.pdf" TargetMode="External"/><Relationship Id="rId10" Type="http://schemas.openxmlformats.org/officeDocument/2006/relationships/hyperlink" Target="http://www.konkoly.hu/cgi-bin/IBVS?5809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konkoly.hu/cgi-bin/IBVS?5809" TargetMode="External"/><Relationship Id="rId14" Type="http://schemas.openxmlformats.org/officeDocument/2006/relationships/hyperlink" Target="http://www.konkoly.hu/cgi-bin/IBVS?5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2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65" t="s">
        <v>152</v>
      </c>
    </row>
    <row r="2" spans="1:6" x14ac:dyDescent="0.2">
      <c r="A2" t="s">
        <v>24</v>
      </c>
      <c r="B2" s="8" t="s">
        <v>28</v>
      </c>
    </row>
    <row r="4" spans="1:6" ht="14.25" thickTop="1" thickBot="1" x14ac:dyDescent="0.25">
      <c r="A4" s="5" t="s">
        <v>0</v>
      </c>
      <c r="C4" s="56">
        <v>33252.2258</v>
      </c>
      <c r="D4" s="2">
        <v>1.9644535999999999</v>
      </c>
    </row>
    <row r="5" spans="1:6" ht="13.5" thickTop="1" x14ac:dyDescent="0.2">
      <c r="A5" s="11" t="s">
        <v>31</v>
      </c>
      <c r="B5" s="8"/>
      <c r="C5" s="64">
        <v>-9.5</v>
      </c>
      <c r="D5" s="8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23">
        <f>+C4</f>
        <v>33252.2258</v>
      </c>
    </row>
    <row r="8" spans="1:6" x14ac:dyDescent="0.2">
      <c r="A8" t="s">
        <v>3</v>
      </c>
      <c r="C8" s="23">
        <f>+D4</f>
        <v>1.9644535999999999</v>
      </c>
    </row>
    <row r="9" spans="1:6" x14ac:dyDescent="0.2">
      <c r="A9" s="21" t="s">
        <v>36</v>
      </c>
      <c r="B9" s="22">
        <v>21</v>
      </c>
      <c r="C9" s="13" t="str">
        <f>"F"&amp;B9</f>
        <v>F21</v>
      </c>
      <c r="D9" s="14" t="str">
        <f>"G"&amp;B9</f>
        <v>G21</v>
      </c>
    </row>
    <row r="10" spans="1:6" ht="13.5" thickBot="1" x14ac:dyDescent="0.25">
      <c r="A10" s="8"/>
      <c r="B10" s="8"/>
      <c r="C10" s="57" t="s">
        <v>20</v>
      </c>
      <c r="D10" s="4" t="s">
        <v>21</v>
      </c>
      <c r="E10" s="8"/>
    </row>
    <row r="11" spans="1:6" x14ac:dyDescent="0.2">
      <c r="A11" s="8" t="s">
        <v>16</v>
      </c>
      <c r="B11" s="8"/>
      <c r="C11" s="13">
        <f ca="1">INTERCEPT(INDIRECT($D$9):G991,INDIRECT($C$9):F991)</f>
        <v>9.961263998403691E-5</v>
      </c>
      <c r="D11" s="3"/>
      <c r="E11" s="8"/>
    </row>
    <row r="12" spans="1:6" x14ac:dyDescent="0.2">
      <c r="A12" s="8" t="s">
        <v>17</v>
      </c>
      <c r="B12" s="8"/>
      <c r="C12" s="13">
        <f ca="1">SLOPE(INDIRECT($D$9):G991,INDIRECT($C$9):F991)</f>
        <v>3.3080444514169383E-6</v>
      </c>
      <c r="D12" s="3"/>
      <c r="E12" s="8"/>
    </row>
    <row r="13" spans="1:6" x14ac:dyDescent="0.2">
      <c r="A13" s="8" t="s">
        <v>19</v>
      </c>
      <c r="B13" s="8"/>
      <c r="C13" s="23" t="s">
        <v>14</v>
      </c>
    </row>
    <row r="14" spans="1:6" x14ac:dyDescent="0.2">
      <c r="A14" s="8"/>
      <c r="B14" s="8"/>
      <c r="C14" s="58"/>
    </row>
    <row r="15" spans="1:6" x14ac:dyDescent="0.2">
      <c r="A15" s="15" t="s">
        <v>18</v>
      </c>
      <c r="B15" s="8"/>
      <c r="C15" s="59">
        <f ca="1">(C7+C11)+(C8+C12)*INT(MAX(F21:F3532))</f>
        <v>55784.546634882499</v>
      </c>
      <c r="E15" s="16" t="s">
        <v>42</v>
      </c>
      <c r="F15" s="12">
        <v>1</v>
      </c>
    </row>
    <row r="16" spans="1:6" x14ac:dyDescent="0.2">
      <c r="A16" s="18" t="s">
        <v>4</v>
      </c>
      <c r="B16" s="8"/>
      <c r="C16" s="60">
        <f ca="1">+C8+C12</f>
        <v>1.9644569080444514</v>
      </c>
      <c r="E16" s="16" t="s">
        <v>33</v>
      </c>
      <c r="F16" s="17">
        <f ca="1">NOW()+15018.5+$C$5/24</f>
        <v>60340.76328634259</v>
      </c>
    </row>
    <row r="17" spans="1:17" ht="13.5" thickBot="1" x14ac:dyDescent="0.25">
      <c r="A17" s="16" t="s">
        <v>30</v>
      </c>
      <c r="B17" s="8"/>
      <c r="C17" s="63">
        <f>COUNT(C21:C2190)</f>
        <v>23</v>
      </c>
      <c r="E17" s="16" t="s">
        <v>43</v>
      </c>
      <c r="F17" s="17">
        <f ca="1">ROUND(2*(F16-$C$7)/$C$8,0)/2+F15</f>
        <v>13790.5</v>
      </c>
    </row>
    <row r="18" spans="1:17" ht="14.25" thickTop="1" thickBot="1" x14ac:dyDescent="0.25">
      <c r="A18" s="18" t="s">
        <v>5</v>
      </c>
      <c r="B18" s="8"/>
      <c r="C18" s="61">
        <f ca="1">+C15</f>
        <v>55784.546634882499</v>
      </c>
      <c r="D18" s="20">
        <f ca="1">+C16</f>
        <v>1.9644569080444514</v>
      </c>
      <c r="E18" s="16" t="s">
        <v>34</v>
      </c>
      <c r="F18" s="14">
        <f ca="1">ROUND(2*(F16-$C$15)/$C$16,0)/2+F15</f>
        <v>2320.5</v>
      </c>
    </row>
    <row r="19" spans="1:17" ht="13.5" thickTop="1" x14ac:dyDescent="0.2">
      <c r="E19" s="16" t="s">
        <v>35</v>
      </c>
      <c r="F19" s="19">
        <f ca="1">+$C$15+$C$16*F18-15018.5-$C$5/24</f>
        <v>45324.964723332982</v>
      </c>
    </row>
    <row r="20" spans="1:17" ht="13.5" thickBot="1" x14ac:dyDescent="0.25">
      <c r="A20" s="4" t="s">
        <v>6</v>
      </c>
      <c r="B20" s="4" t="s">
        <v>7</v>
      </c>
      <c r="C20" s="57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56</v>
      </c>
      <c r="J20" s="7" t="s">
        <v>50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4" t="s">
        <v>83</v>
      </c>
      <c r="B21" s="55" t="s">
        <v>38</v>
      </c>
      <c r="C21" s="62">
        <v>51877.2425</v>
      </c>
      <c r="D21" s="62" t="s">
        <v>56</v>
      </c>
      <c r="E21">
        <f t="shared" ref="E21:E43" si="0">+(C21-C$7)/C$8</f>
        <v>9481.016349788053</v>
      </c>
      <c r="F21">
        <f t="shared" ref="F21:F43" si="1">ROUND(2*E21,0)/2</f>
        <v>9481</v>
      </c>
      <c r="G21">
        <f t="shared" ref="G21:G43" si="2">+C21-(C$7+F21*C$8)</f>
        <v>3.2118399998580571E-2</v>
      </c>
      <c r="I21">
        <f>+G21</f>
        <v>3.2118399998580571E-2</v>
      </c>
      <c r="O21">
        <f t="shared" ref="O21:O43" ca="1" si="3">+C$11+C$12*$F21</f>
        <v>3.146318208386803E-2</v>
      </c>
      <c r="Q21" s="1">
        <f t="shared" ref="Q21:Q43" si="4">+C21-15018.5</f>
        <v>36858.7425</v>
      </c>
    </row>
    <row r="22" spans="1:17" x14ac:dyDescent="0.2">
      <c r="A22" s="54" t="s">
        <v>88</v>
      </c>
      <c r="B22" s="55" t="s">
        <v>38</v>
      </c>
      <c r="C22" s="62">
        <v>52085.473700000002</v>
      </c>
      <c r="D22" s="62" t="s">
        <v>56</v>
      </c>
      <c r="E22">
        <f t="shared" si="0"/>
        <v>9587.0159010118659</v>
      </c>
      <c r="F22">
        <f t="shared" si="1"/>
        <v>9587</v>
      </c>
      <c r="G22">
        <f t="shared" si="2"/>
        <v>3.1236800001352094E-2</v>
      </c>
      <c r="I22">
        <f>+G22</f>
        <v>3.1236800001352094E-2</v>
      </c>
      <c r="O22">
        <f t="shared" ca="1" si="3"/>
        <v>3.1813834795718227E-2</v>
      </c>
      <c r="Q22" s="1">
        <f t="shared" si="4"/>
        <v>37066.973700000002</v>
      </c>
    </row>
    <row r="23" spans="1:17" x14ac:dyDescent="0.2">
      <c r="A23" s="54" t="s">
        <v>92</v>
      </c>
      <c r="B23" s="55" t="s">
        <v>38</v>
      </c>
      <c r="C23" s="62">
        <v>52144.407599999999</v>
      </c>
      <c r="D23" s="62" t="s">
        <v>56</v>
      </c>
      <c r="E23">
        <f t="shared" si="0"/>
        <v>9617.0160496537046</v>
      </c>
      <c r="F23">
        <f t="shared" si="1"/>
        <v>9617</v>
      </c>
      <c r="G23">
        <f t="shared" si="2"/>
        <v>3.1528799998341128E-2</v>
      </c>
      <c r="I23">
        <f>+G23</f>
        <v>3.1528799998341128E-2</v>
      </c>
      <c r="O23">
        <f t="shared" ca="1" si="3"/>
        <v>3.1913076129260733E-2</v>
      </c>
      <c r="Q23" s="1">
        <f t="shared" si="4"/>
        <v>37125.907599999999</v>
      </c>
    </row>
    <row r="24" spans="1:17" x14ac:dyDescent="0.2">
      <c r="A24" t="s">
        <v>12</v>
      </c>
      <c r="C24" s="23">
        <f>+C7</f>
        <v>33252.2258</v>
      </c>
      <c r="D24" s="23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O24">
        <f t="shared" ca="1" si="3"/>
        <v>9.961263998403691E-5</v>
      </c>
      <c r="Q24" s="1">
        <f t="shared" si="4"/>
        <v>18233.7258</v>
      </c>
    </row>
    <row r="25" spans="1:17" x14ac:dyDescent="0.2">
      <c r="A25" s="34" t="s">
        <v>41</v>
      </c>
      <c r="B25" s="35" t="s">
        <v>38</v>
      </c>
      <c r="C25" s="36">
        <v>54297.453320000001</v>
      </c>
      <c r="D25" s="36">
        <v>1E-4</v>
      </c>
      <c r="E25">
        <f t="shared" si="0"/>
        <v>10713.018378240138</v>
      </c>
      <c r="F25">
        <f t="shared" si="1"/>
        <v>10713</v>
      </c>
      <c r="G25">
        <f t="shared" si="2"/>
        <v>3.6103200000070501E-2</v>
      </c>
      <c r="K25">
        <f>+G25</f>
        <v>3.6103200000070501E-2</v>
      </c>
      <c r="O25">
        <f t="shared" ca="1" si="3"/>
        <v>3.5538692848013698E-2</v>
      </c>
      <c r="Q25" s="1">
        <f t="shared" si="4"/>
        <v>39278.953320000001</v>
      </c>
    </row>
    <row r="26" spans="1:17" x14ac:dyDescent="0.2">
      <c r="A26" s="9" t="s">
        <v>29</v>
      </c>
      <c r="B26" s="10"/>
      <c r="C26" s="24">
        <v>51812.415000000001</v>
      </c>
      <c r="D26" s="24">
        <v>2.0000000000000001E-4</v>
      </c>
      <c r="E26">
        <f t="shared" si="0"/>
        <v>9448.0160793820742</v>
      </c>
      <c r="F26">
        <f t="shared" si="1"/>
        <v>9448</v>
      </c>
      <c r="G26">
        <f t="shared" si="2"/>
        <v>3.1587199999194127E-2</v>
      </c>
      <c r="J26">
        <f>+G26</f>
        <v>3.1587199999194127E-2</v>
      </c>
      <c r="O26">
        <f t="shared" ca="1" si="3"/>
        <v>3.1354016616971271E-2</v>
      </c>
      <c r="Q26" s="1">
        <f t="shared" si="4"/>
        <v>36793.915000000001</v>
      </c>
    </row>
    <row r="27" spans="1:17" x14ac:dyDescent="0.2">
      <c r="A27" s="30" t="s">
        <v>37</v>
      </c>
      <c r="B27" s="25" t="s">
        <v>38</v>
      </c>
      <c r="C27" s="26">
        <v>54295.4902</v>
      </c>
      <c r="D27" s="26"/>
      <c r="E27">
        <f t="shared" si="0"/>
        <v>10712.019057105752</v>
      </c>
      <c r="F27">
        <f t="shared" si="1"/>
        <v>10712</v>
      </c>
      <c r="G27">
        <f t="shared" si="2"/>
        <v>3.7436800004797988E-2</v>
      </c>
      <c r="J27">
        <f>+G27</f>
        <v>3.7436800004797988E-2</v>
      </c>
      <c r="O27">
        <f t="shared" ca="1" si="3"/>
        <v>3.5535384803562282E-2</v>
      </c>
      <c r="Q27" s="1">
        <f t="shared" si="4"/>
        <v>39276.9902</v>
      </c>
    </row>
    <row r="28" spans="1:17" x14ac:dyDescent="0.2">
      <c r="A28" s="39" t="s">
        <v>46</v>
      </c>
      <c r="B28" s="39"/>
      <c r="C28" s="40">
        <v>55461.394</v>
      </c>
      <c r="D28" s="40">
        <v>2.7000000000000001E-3</v>
      </c>
      <c r="E28">
        <f t="shared" si="0"/>
        <v>11305.519356629244</v>
      </c>
      <c r="F28">
        <f t="shared" si="1"/>
        <v>11305.5</v>
      </c>
      <c r="G28">
        <f t="shared" si="2"/>
        <v>3.8025200003175996E-2</v>
      </c>
      <c r="J28">
        <f>+G28</f>
        <v>3.8025200003175996E-2</v>
      </c>
      <c r="O28">
        <f t="shared" ca="1" si="3"/>
        <v>3.7498709185478235E-2</v>
      </c>
      <c r="Q28" s="1">
        <f t="shared" si="4"/>
        <v>40442.894</v>
      </c>
    </row>
    <row r="29" spans="1:17" x14ac:dyDescent="0.2">
      <c r="A29" s="37" t="s">
        <v>44</v>
      </c>
      <c r="B29" s="38" t="s">
        <v>38</v>
      </c>
      <c r="C29" s="37">
        <v>55784.549400000004</v>
      </c>
      <c r="D29" s="37">
        <v>1.8E-3</v>
      </c>
      <c r="E29">
        <f t="shared" si="0"/>
        <v>11470.020773206354</v>
      </c>
      <c r="F29">
        <f t="shared" si="1"/>
        <v>11470</v>
      </c>
      <c r="G29">
        <f t="shared" si="2"/>
        <v>4.0808000005199574E-2</v>
      </c>
      <c r="J29">
        <f>+G29</f>
        <v>4.0808000005199574E-2</v>
      </c>
      <c r="O29">
        <f t="shared" ca="1" si="3"/>
        <v>3.8042882497736318E-2</v>
      </c>
      <c r="Q29" s="1">
        <f t="shared" si="4"/>
        <v>40766.049400000004</v>
      </c>
    </row>
    <row r="30" spans="1:17" x14ac:dyDescent="0.2">
      <c r="A30" s="27" t="s">
        <v>39</v>
      </c>
      <c r="B30" s="28" t="s">
        <v>38</v>
      </c>
      <c r="C30" s="29">
        <v>51698.476159999998</v>
      </c>
      <c r="D30" s="29">
        <v>3.3E-3</v>
      </c>
      <c r="E30">
        <f t="shared" si="0"/>
        <v>9390.0158089760935</v>
      </c>
      <c r="F30">
        <f t="shared" si="1"/>
        <v>9390</v>
      </c>
      <c r="G30">
        <f t="shared" si="2"/>
        <v>3.1055999999807682E-2</v>
      </c>
      <c r="K30">
        <f t="shared" ref="K30:K43" si="5">+G30</f>
        <v>3.1055999999807682E-2</v>
      </c>
      <c r="O30">
        <f t="shared" ca="1" si="3"/>
        <v>3.1162150038789086E-2</v>
      </c>
      <c r="Q30" s="1">
        <f t="shared" si="4"/>
        <v>36679.976159999998</v>
      </c>
    </row>
    <row r="31" spans="1:17" x14ac:dyDescent="0.2">
      <c r="A31" s="27" t="s">
        <v>39</v>
      </c>
      <c r="B31" s="28" t="s">
        <v>38</v>
      </c>
      <c r="C31" s="29">
        <v>51698.482199999999</v>
      </c>
      <c r="D31" s="29" t="s">
        <v>40</v>
      </c>
      <c r="E31">
        <f t="shared" si="0"/>
        <v>9390.018883622397</v>
      </c>
      <c r="F31">
        <f t="shared" si="1"/>
        <v>9390</v>
      </c>
      <c r="G31">
        <f t="shared" si="2"/>
        <v>3.7096000000019558E-2</v>
      </c>
      <c r="K31">
        <f t="shared" si="5"/>
        <v>3.7096000000019558E-2</v>
      </c>
      <c r="O31">
        <f t="shared" ca="1" si="3"/>
        <v>3.1162150038789086E-2</v>
      </c>
      <c r="Q31" s="1">
        <f t="shared" si="4"/>
        <v>36679.982199999999</v>
      </c>
    </row>
    <row r="32" spans="1:17" x14ac:dyDescent="0.2">
      <c r="A32" s="27" t="s">
        <v>39</v>
      </c>
      <c r="B32" s="28" t="s">
        <v>38</v>
      </c>
      <c r="C32" s="29">
        <v>51757.408799999997</v>
      </c>
      <c r="D32" s="29" t="s">
        <v>40</v>
      </c>
      <c r="E32">
        <f t="shared" si="0"/>
        <v>9420.0153162182087</v>
      </c>
      <c r="F32">
        <f t="shared" si="1"/>
        <v>9420</v>
      </c>
      <c r="G32">
        <f t="shared" si="2"/>
        <v>3.0087999999523163E-2</v>
      </c>
      <c r="K32">
        <f t="shared" si="5"/>
        <v>3.0087999999523163E-2</v>
      </c>
      <c r="O32">
        <f t="shared" ca="1" si="3"/>
        <v>3.1261391372331596E-2</v>
      </c>
      <c r="Q32" s="1">
        <f t="shared" si="4"/>
        <v>36738.908799999997</v>
      </c>
    </row>
    <row r="33" spans="1:17" x14ac:dyDescent="0.2">
      <c r="A33" s="54" t="s">
        <v>97</v>
      </c>
      <c r="B33" s="55" t="s">
        <v>151</v>
      </c>
      <c r="C33" s="62">
        <v>52605.076000000001</v>
      </c>
      <c r="D33" s="62" t="s">
        <v>56</v>
      </c>
      <c r="E33">
        <f t="shared" si="0"/>
        <v>9851.5181015219714</v>
      </c>
      <c r="F33">
        <f t="shared" si="1"/>
        <v>9851.5</v>
      </c>
      <c r="G33">
        <f t="shared" si="2"/>
        <v>3.5559600000851788E-2</v>
      </c>
      <c r="I33">
        <f>+G33</f>
        <v>3.5559600000851788E-2</v>
      </c>
      <c r="O33">
        <f t="shared" ca="1" si="3"/>
        <v>3.2688812553118007E-2</v>
      </c>
      <c r="Q33" s="1">
        <f t="shared" si="4"/>
        <v>37586.576000000001</v>
      </c>
    </row>
    <row r="34" spans="1:17" x14ac:dyDescent="0.2">
      <c r="A34" s="54" t="s">
        <v>97</v>
      </c>
      <c r="B34" s="55" t="s">
        <v>38</v>
      </c>
      <c r="C34" s="62">
        <v>52606.055</v>
      </c>
      <c r="D34" s="62" t="s">
        <v>56</v>
      </c>
      <c r="E34">
        <f t="shared" si="0"/>
        <v>9852.0164589278156</v>
      </c>
      <c r="F34">
        <f t="shared" si="1"/>
        <v>9852</v>
      </c>
      <c r="G34">
        <f t="shared" si="2"/>
        <v>3.2332800001313444E-2</v>
      </c>
      <c r="I34">
        <f>+G34</f>
        <v>3.2332800001313444E-2</v>
      </c>
      <c r="O34">
        <f t="shared" ca="1" si="3"/>
        <v>3.2690466575343712E-2</v>
      </c>
      <c r="Q34" s="1">
        <f t="shared" si="4"/>
        <v>37587.555</v>
      </c>
    </row>
    <row r="35" spans="1:17" x14ac:dyDescent="0.2">
      <c r="A35" s="54" t="s">
        <v>97</v>
      </c>
      <c r="B35" s="55" t="s">
        <v>151</v>
      </c>
      <c r="C35" s="62">
        <v>52607.036800000002</v>
      </c>
      <c r="D35" s="62" t="s">
        <v>56</v>
      </c>
      <c r="E35">
        <f t="shared" si="0"/>
        <v>9852.5162416663861</v>
      </c>
      <c r="F35">
        <f t="shared" si="1"/>
        <v>9852.5</v>
      </c>
      <c r="G35">
        <f t="shared" si="2"/>
        <v>3.1906000003800727E-2</v>
      </c>
      <c r="I35">
        <f>+G35</f>
        <v>3.1906000003800727E-2</v>
      </c>
      <c r="O35">
        <f t="shared" ca="1" si="3"/>
        <v>3.2692120597569423E-2</v>
      </c>
      <c r="Q35" s="1">
        <f t="shared" si="4"/>
        <v>37588.536800000002</v>
      </c>
    </row>
    <row r="36" spans="1:17" x14ac:dyDescent="0.2">
      <c r="A36" s="54" t="s">
        <v>97</v>
      </c>
      <c r="B36" s="55" t="s">
        <v>38</v>
      </c>
      <c r="C36" s="62">
        <v>52608.019800000002</v>
      </c>
      <c r="D36" s="62" t="s">
        <v>56</v>
      </c>
      <c r="E36">
        <f t="shared" si="0"/>
        <v>9853.0166352618362</v>
      </c>
      <c r="F36">
        <f t="shared" si="1"/>
        <v>9853</v>
      </c>
      <c r="G36">
        <f t="shared" si="2"/>
        <v>3.2679200005077291E-2</v>
      </c>
      <c r="I36">
        <f>+G36</f>
        <v>3.2679200005077291E-2</v>
      </c>
      <c r="O36">
        <f t="shared" ca="1" si="3"/>
        <v>3.2693774619795134E-2</v>
      </c>
      <c r="Q36" s="1">
        <f t="shared" si="4"/>
        <v>37589.519800000002</v>
      </c>
    </row>
    <row r="37" spans="1:17" x14ac:dyDescent="0.2">
      <c r="A37" s="54" t="s">
        <v>97</v>
      </c>
      <c r="B37" s="55" t="s">
        <v>151</v>
      </c>
      <c r="C37" s="62">
        <v>52608.995199999998</v>
      </c>
      <c r="D37" s="62" t="s">
        <v>56</v>
      </c>
      <c r="E37">
        <f t="shared" si="0"/>
        <v>9853.5131600970362</v>
      </c>
      <c r="F37">
        <f t="shared" si="1"/>
        <v>9853.5</v>
      </c>
      <c r="G37">
        <f t="shared" si="2"/>
        <v>2.5852400001895148E-2</v>
      </c>
      <c r="I37">
        <f>+G37</f>
        <v>2.5852400001895148E-2</v>
      </c>
      <c r="O37">
        <f t="shared" ca="1" si="3"/>
        <v>3.2695428642020838E-2</v>
      </c>
      <c r="Q37" s="1">
        <f t="shared" si="4"/>
        <v>37590.495199999998</v>
      </c>
    </row>
    <row r="38" spans="1:17" x14ac:dyDescent="0.2">
      <c r="A38" s="54" t="s">
        <v>97</v>
      </c>
      <c r="B38" s="55" t="s">
        <v>38</v>
      </c>
      <c r="C38" s="62">
        <v>52609.983800000002</v>
      </c>
      <c r="D38" s="62" t="s">
        <v>56</v>
      </c>
      <c r="E38">
        <f t="shared" si="0"/>
        <v>9854.0164043579352</v>
      </c>
      <c r="F38">
        <f t="shared" si="1"/>
        <v>9854</v>
      </c>
      <c r="G38">
        <f t="shared" si="2"/>
        <v>3.2225600007222965E-2</v>
      </c>
      <c r="I38">
        <f>+G38</f>
        <v>3.2225600007222965E-2</v>
      </c>
      <c r="O38">
        <f t="shared" ca="1" si="3"/>
        <v>3.2697082664246549E-2</v>
      </c>
      <c r="Q38" s="1">
        <f t="shared" si="4"/>
        <v>37591.483800000002</v>
      </c>
    </row>
    <row r="39" spans="1:17" x14ac:dyDescent="0.2">
      <c r="A39" s="54" t="s">
        <v>97</v>
      </c>
      <c r="B39" s="55" t="s">
        <v>151</v>
      </c>
      <c r="C39" s="62">
        <v>52610.964800000002</v>
      </c>
      <c r="D39" s="62" t="s">
        <v>56</v>
      </c>
      <c r="E39">
        <f t="shared" si="0"/>
        <v>9854.5157798585842</v>
      </c>
      <c r="F39">
        <f t="shared" si="1"/>
        <v>9854.5</v>
      </c>
      <c r="G39">
        <f t="shared" si="2"/>
        <v>3.0998800000816118E-2</v>
      </c>
      <c r="I39">
        <f>+G39</f>
        <v>3.0998800000816118E-2</v>
      </c>
      <c r="O39">
        <f t="shared" ca="1" si="3"/>
        <v>3.2698736686472253E-2</v>
      </c>
      <c r="Q39" s="1">
        <f t="shared" si="4"/>
        <v>37592.464800000002</v>
      </c>
    </row>
    <row r="40" spans="1:17" x14ac:dyDescent="0.2">
      <c r="A40" s="54" t="s">
        <v>97</v>
      </c>
      <c r="B40" s="55" t="s">
        <v>38</v>
      </c>
      <c r="C40" s="62">
        <v>52613.912100000001</v>
      </c>
      <c r="D40" s="62" t="s">
        <v>56</v>
      </c>
      <c r="E40">
        <f t="shared" si="0"/>
        <v>9856.0160952643528</v>
      </c>
      <c r="F40">
        <f t="shared" si="1"/>
        <v>9856</v>
      </c>
      <c r="G40">
        <f t="shared" si="2"/>
        <v>3.1618399996659718E-2</v>
      </c>
      <c r="I40">
        <f>+G40</f>
        <v>3.1618399996659718E-2</v>
      </c>
      <c r="O40">
        <f t="shared" ca="1" si="3"/>
        <v>3.2703698753149379E-2</v>
      </c>
      <c r="Q40" s="1">
        <f t="shared" si="4"/>
        <v>37595.412100000001</v>
      </c>
    </row>
    <row r="41" spans="1:17" x14ac:dyDescent="0.2">
      <c r="A41" s="54" t="s">
        <v>97</v>
      </c>
      <c r="B41" s="55" t="s">
        <v>38</v>
      </c>
      <c r="C41" s="62">
        <v>52615.880599999997</v>
      </c>
      <c r="D41" s="62" t="s">
        <v>56</v>
      </c>
      <c r="E41">
        <f t="shared" si="0"/>
        <v>9857.0181550737561</v>
      </c>
      <c r="F41">
        <f t="shared" si="1"/>
        <v>9857</v>
      </c>
      <c r="G41">
        <f t="shared" si="2"/>
        <v>3.5664799994265195E-2</v>
      </c>
      <c r="I41">
        <f>+G41</f>
        <v>3.5664799994265195E-2</v>
      </c>
      <c r="O41">
        <f t="shared" ca="1" si="3"/>
        <v>3.2707006797600795E-2</v>
      </c>
      <c r="Q41" s="1">
        <f t="shared" si="4"/>
        <v>37597.380599999997</v>
      </c>
    </row>
    <row r="42" spans="1:17" x14ac:dyDescent="0.2">
      <c r="A42" s="31" t="s">
        <v>45</v>
      </c>
      <c r="B42" s="32" t="s">
        <v>38</v>
      </c>
      <c r="C42" s="33">
        <v>55077.339699999997</v>
      </c>
      <c r="D42" s="33">
        <v>1E-4</v>
      </c>
      <c r="E42">
        <f t="shared" si="0"/>
        <v>11110.017513266792</v>
      </c>
      <c r="F42">
        <f t="shared" si="1"/>
        <v>11110</v>
      </c>
      <c r="G42">
        <f t="shared" si="2"/>
        <v>3.4403999998176005E-2</v>
      </c>
      <c r="K42">
        <f t="shared" si="5"/>
        <v>3.4403999998176005E-2</v>
      </c>
      <c r="O42">
        <f t="shared" ca="1" si="3"/>
        <v>3.6851986495226224E-2</v>
      </c>
      <c r="Q42" s="1">
        <f t="shared" si="4"/>
        <v>40058.839699999997</v>
      </c>
    </row>
    <row r="43" spans="1:17" x14ac:dyDescent="0.2">
      <c r="A43" s="31" t="s">
        <v>45</v>
      </c>
      <c r="B43" s="32" t="s">
        <v>38</v>
      </c>
      <c r="C43" s="33">
        <v>55081.268700000001</v>
      </c>
      <c r="D43" s="33">
        <v>1E-4</v>
      </c>
      <c r="E43">
        <f t="shared" si="0"/>
        <v>11112.017560506392</v>
      </c>
      <c r="F43">
        <f t="shared" si="1"/>
        <v>11112</v>
      </c>
      <c r="G43">
        <f t="shared" si="2"/>
        <v>3.4496799999033101E-2</v>
      </c>
      <c r="K43">
        <f t="shared" si="5"/>
        <v>3.4496799999033101E-2</v>
      </c>
      <c r="O43">
        <f t="shared" ca="1" si="3"/>
        <v>3.6858602584129055E-2</v>
      </c>
      <c r="Q43" s="1">
        <f t="shared" si="4"/>
        <v>40062.768700000001</v>
      </c>
    </row>
    <row r="44" spans="1:17" x14ac:dyDescent="0.2">
      <c r="B44" s="3"/>
      <c r="D44" s="23"/>
    </row>
    <row r="45" spans="1:17" x14ac:dyDescent="0.2">
      <c r="B45" s="3"/>
      <c r="D45" s="23"/>
    </row>
    <row r="46" spans="1:17" x14ac:dyDescent="0.2">
      <c r="D46" s="23"/>
    </row>
    <row r="47" spans="1:17" x14ac:dyDescent="0.2">
      <c r="D47" s="23"/>
    </row>
    <row r="48" spans="1:17" x14ac:dyDescent="0.2">
      <c r="D48" s="23"/>
    </row>
    <row r="49" spans="4:4" x14ac:dyDescent="0.2">
      <c r="D49" s="23"/>
    </row>
    <row r="50" spans="4:4" x14ac:dyDescent="0.2">
      <c r="D50" s="23"/>
    </row>
    <row r="51" spans="4:4" x14ac:dyDescent="0.2">
      <c r="D51" s="23"/>
    </row>
    <row r="52" spans="4:4" x14ac:dyDescent="0.2">
      <c r="D52" s="23"/>
    </row>
    <row r="53" spans="4:4" x14ac:dyDescent="0.2">
      <c r="D53" s="23"/>
    </row>
    <row r="54" spans="4:4" x14ac:dyDescent="0.2">
      <c r="D54" s="23"/>
    </row>
    <row r="55" spans="4:4" x14ac:dyDescent="0.2">
      <c r="D55" s="23"/>
    </row>
    <row r="56" spans="4:4" x14ac:dyDescent="0.2">
      <c r="D56" s="23"/>
    </row>
    <row r="57" spans="4:4" x14ac:dyDescent="0.2">
      <c r="D57" s="23"/>
    </row>
    <row r="58" spans="4:4" x14ac:dyDescent="0.2">
      <c r="D58" s="23"/>
    </row>
    <row r="59" spans="4:4" x14ac:dyDescent="0.2">
      <c r="D59" s="23"/>
    </row>
    <row r="60" spans="4:4" x14ac:dyDescent="0.2">
      <c r="D60" s="23"/>
    </row>
    <row r="61" spans="4:4" x14ac:dyDescent="0.2">
      <c r="D61" s="23"/>
    </row>
    <row r="62" spans="4:4" x14ac:dyDescent="0.2">
      <c r="D62" s="23"/>
    </row>
    <row r="63" spans="4:4" x14ac:dyDescent="0.2">
      <c r="D63" s="23"/>
    </row>
    <row r="64" spans="4:4" x14ac:dyDescent="0.2">
      <c r="D64" s="23"/>
    </row>
    <row r="65" spans="4:4" x14ac:dyDescent="0.2">
      <c r="D65" s="23"/>
    </row>
    <row r="66" spans="4:4" x14ac:dyDescent="0.2">
      <c r="D66" s="23"/>
    </row>
    <row r="67" spans="4:4" x14ac:dyDescent="0.2">
      <c r="D67" s="23"/>
    </row>
    <row r="68" spans="4:4" x14ac:dyDescent="0.2">
      <c r="D68" s="23"/>
    </row>
    <row r="69" spans="4:4" x14ac:dyDescent="0.2">
      <c r="D69" s="23"/>
    </row>
    <row r="70" spans="4:4" x14ac:dyDescent="0.2">
      <c r="D70" s="23"/>
    </row>
    <row r="71" spans="4:4" x14ac:dyDescent="0.2">
      <c r="D71" s="23"/>
    </row>
    <row r="72" spans="4:4" x14ac:dyDescent="0.2">
      <c r="D72" s="23"/>
    </row>
    <row r="73" spans="4:4" x14ac:dyDescent="0.2">
      <c r="D73" s="23"/>
    </row>
    <row r="74" spans="4:4" x14ac:dyDescent="0.2">
      <c r="D74" s="23"/>
    </row>
    <row r="75" spans="4:4" x14ac:dyDescent="0.2">
      <c r="D75" s="23"/>
    </row>
    <row r="76" spans="4:4" x14ac:dyDescent="0.2">
      <c r="D76" s="23"/>
    </row>
    <row r="77" spans="4:4" x14ac:dyDescent="0.2">
      <c r="D77" s="23"/>
    </row>
    <row r="78" spans="4:4" x14ac:dyDescent="0.2">
      <c r="D78" s="23"/>
    </row>
    <row r="79" spans="4:4" x14ac:dyDescent="0.2">
      <c r="D79" s="23"/>
    </row>
    <row r="80" spans="4:4" x14ac:dyDescent="0.2">
      <c r="D80" s="23"/>
    </row>
    <row r="81" spans="4:4" x14ac:dyDescent="0.2">
      <c r="D81" s="23"/>
    </row>
    <row r="82" spans="4:4" x14ac:dyDescent="0.2">
      <c r="D82" s="23"/>
    </row>
    <row r="83" spans="4:4" x14ac:dyDescent="0.2">
      <c r="D83" s="23"/>
    </row>
    <row r="84" spans="4:4" x14ac:dyDescent="0.2">
      <c r="D84" s="23"/>
    </row>
    <row r="85" spans="4:4" x14ac:dyDescent="0.2">
      <c r="D85" s="23"/>
    </row>
    <row r="86" spans="4:4" x14ac:dyDescent="0.2">
      <c r="D86" s="23"/>
    </row>
    <row r="87" spans="4:4" x14ac:dyDescent="0.2">
      <c r="D87" s="23"/>
    </row>
    <row r="88" spans="4:4" x14ac:dyDescent="0.2">
      <c r="D88" s="23"/>
    </row>
    <row r="89" spans="4:4" x14ac:dyDescent="0.2">
      <c r="D89" s="23"/>
    </row>
    <row r="90" spans="4:4" x14ac:dyDescent="0.2">
      <c r="D90" s="2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8"/>
  <sheetViews>
    <sheetView workbookViewId="0">
      <selection activeCell="A20" sqref="A20:D32"/>
    </sheetView>
  </sheetViews>
  <sheetFormatPr defaultRowHeight="12.75" x14ac:dyDescent="0.2"/>
  <cols>
    <col min="1" max="1" width="19.7109375" style="23" customWidth="1"/>
    <col min="2" max="2" width="4.42578125" style="8" customWidth="1"/>
    <col min="3" max="3" width="12.7109375" style="23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23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41" t="s">
        <v>47</v>
      </c>
      <c r="I1" s="42" t="s">
        <v>48</v>
      </c>
      <c r="J1" s="43" t="s">
        <v>40</v>
      </c>
    </row>
    <row r="2" spans="1:16" x14ac:dyDescent="0.2">
      <c r="I2" s="44" t="s">
        <v>49</v>
      </c>
      <c r="J2" s="45" t="s">
        <v>50</v>
      </c>
    </row>
    <row r="3" spans="1:16" x14ac:dyDescent="0.2">
      <c r="A3" s="46" t="s">
        <v>51</v>
      </c>
      <c r="I3" s="44" t="s">
        <v>52</v>
      </c>
      <c r="J3" s="45" t="s">
        <v>53</v>
      </c>
    </row>
    <row r="4" spans="1:16" x14ac:dyDescent="0.2">
      <c r="I4" s="44" t="s">
        <v>54</v>
      </c>
      <c r="J4" s="45" t="s">
        <v>53</v>
      </c>
    </row>
    <row r="5" spans="1:16" ht="13.5" thickBot="1" x14ac:dyDescent="0.25">
      <c r="I5" s="47" t="s">
        <v>55</v>
      </c>
      <c r="J5" s="48" t="s">
        <v>56</v>
      </c>
    </row>
    <row r="10" spans="1:16" ht="13.5" thickBot="1" x14ac:dyDescent="0.25"/>
    <row r="11" spans="1:16" ht="12.75" customHeight="1" thickBot="1" x14ac:dyDescent="0.25">
      <c r="A11" s="23" t="str">
        <f t="shared" ref="A11:A32" si="0">P11</f>
        <v>OEJV 0074 </v>
      </c>
      <c r="B11" s="3" t="str">
        <f t="shared" ref="B11:B32" si="1">IF(H11=INT(H11),"I","II")</f>
        <v>I</v>
      </c>
      <c r="C11" s="23">
        <f t="shared" ref="C11:C32" si="2">1*G11</f>
        <v>51698.476159999998</v>
      </c>
      <c r="D11" s="8" t="str">
        <f t="shared" ref="D11:D32" si="3">VLOOKUP(F11,I$1:J$5,2,FALSE)</f>
        <v>vis</v>
      </c>
      <c r="E11" s="49">
        <f>VLOOKUP(C11,Active!C$21:E$972,3,FALSE)</f>
        <v>9390.0158089760935</v>
      </c>
      <c r="F11" s="3" t="s">
        <v>55</v>
      </c>
      <c r="G11" s="8" t="str">
        <f t="shared" ref="G11:G32" si="4">MID(I11,3,LEN(I11)-3)</f>
        <v>51698.47616</v>
      </c>
      <c r="H11" s="23">
        <f t="shared" ref="H11:H32" si="5">1*K11</f>
        <v>9390</v>
      </c>
      <c r="I11" s="50" t="s">
        <v>57</v>
      </c>
      <c r="J11" s="51" t="s">
        <v>58</v>
      </c>
      <c r="K11" s="50">
        <v>9390</v>
      </c>
      <c r="L11" s="50" t="s">
        <v>59</v>
      </c>
      <c r="M11" s="51" t="s">
        <v>60</v>
      </c>
      <c r="N11" s="51" t="s">
        <v>61</v>
      </c>
      <c r="O11" s="52" t="s">
        <v>62</v>
      </c>
      <c r="P11" s="53" t="s">
        <v>63</v>
      </c>
    </row>
    <row r="12" spans="1:16" ht="12.75" customHeight="1" thickBot="1" x14ac:dyDescent="0.25">
      <c r="A12" s="23" t="str">
        <f t="shared" si="0"/>
        <v>OEJV 0074 </v>
      </c>
      <c r="B12" s="3" t="str">
        <f t="shared" si="1"/>
        <v>I</v>
      </c>
      <c r="C12" s="23">
        <f t="shared" si="2"/>
        <v>51698.482199999999</v>
      </c>
      <c r="D12" s="8" t="str">
        <f t="shared" si="3"/>
        <v>vis</v>
      </c>
      <c r="E12" s="49">
        <f>VLOOKUP(C12,Active!C$21:E$972,3,FALSE)</f>
        <v>9390.018883622397</v>
      </c>
      <c r="F12" s="3" t="s">
        <v>55</v>
      </c>
      <c r="G12" s="8" t="str">
        <f t="shared" si="4"/>
        <v>51698.48220</v>
      </c>
      <c r="H12" s="23">
        <f t="shared" si="5"/>
        <v>9390</v>
      </c>
      <c r="I12" s="50" t="s">
        <v>64</v>
      </c>
      <c r="J12" s="51" t="s">
        <v>65</v>
      </c>
      <c r="K12" s="50">
        <v>9390</v>
      </c>
      <c r="L12" s="50" t="s">
        <v>66</v>
      </c>
      <c r="M12" s="51" t="s">
        <v>60</v>
      </c>
      <c r="N12" s="51" t="s">
        <v>61</v>
      </c>
      <c r="O12" s="52" t="s">
        <v>67</v>
      </c>
      <c r="P12" s="53" t="s">
        <v>63</v>
      </c>
    </row>
    <row r="13" spans="1:16" ht="12.75" customHeight="1" thickBot="1" x14ac:dyDescent="0.25">
      <c r="A13" s="23" t="str">
        <f t="shared" si="0"/>
        <v>OEJV 0074 </v>
      </c>
      <c r="B13" s="3" t="str">
        <f t="shared" si="1"/>
        <v>I</v>
      </c>
      <c r="C13" s="23">
        <f t="shared" si="2"/>
        <v>51757.408799999997</v>
      </c>
      <c r="D13" s="8" t="str">
        <f t="shared" si="3"/>
        <v>vis</v>
      </c>
      <c r="E13" s="49">
        <f>VLOOKUP(C13,Active!C$21:E$972,3,FALSE)</f>
        <v>9420.0153162182087</v>
      </c>
      <c r="F13" s="3" t="s">
        <v>55</v>
      </c>
      <c r="G13" s="8" t="str">
        <f t="shared" si="4"/>
        <v>51757.40880</v>
      </c>
      <c r="H13" s="23">
        <f t="shared" si="5"/>
        <v>9420</v>
      </c>
      <c r="I13" s="50" t="s">
        <v>68</v>
      </c>
      <c r="J13" s="51" t="s">
        <v>69</v>
      </c>
      <c r="K13" s="50">
        <v>9420</v>
      </c>
      <c r="L13" s="50" t="s">
        <v>70</v>
      </c>
      <c r="M13" s="51" t="s">
        <v>60</v>
      </c>
      <c r="N13" s="51" t="s">
        <v>61</v>
      </c>
      <c r="O13" s="52" t="s">
        <v>71</v>
      </c>
      <c r="P13" s="53" t="s">
        <v>63</v>
      </c>
    </row>
    <row r="14" spans="1:16" ht="12.75" customHeight="1" thickBot="1" x14ac:dyDescent="0.25">
      <c r="A14" s="23" t="str">
        <f t="shared" si="0"/>
        <v>BAVM 152 </v>
      </c>
      <c r="B14" s="3" t="str">
        <f t="shared" si="1"/>
        <v>I</v>
      </c>
      <c r="C14" s="23">
        <f t="shared" si="2"/>
        <v>51812.415000000001</v>
      </c>
      <c r="D14" s="8" t="str">
        <f t="shared" si="3"/>
        <v>vis</v>
      </c>
      <c r="E14" s="49">
        <f>VLOOKUP(C14,Active!C$21:E$972,3,FALSE)</f>
        <v>9448.0160793820742</v>
      </c>
      <c r="F14" s="3" t="s">
        <v>55</v>
      </c>
      <c r="G14" s="8" t="str">
        <f t="shared" si="4"/>
        <v>51812.4150</v>
      </c>
      <c r="H14" s="23">
        <f t="shared" si="5"/>
        <v>9448</v>
      </c>
      <c r="I14" s="50" t="s">
        <v>72</v>
      </c>
      <c r="J14" s="51" t="s">
        <v>73</v>
      </c>
      <c r="K14" s="50">
        <v>9448</v>
      </c>
      <c r="L14" s="50" t="s">
        <v>74</v>
      </c>
      <c r="M14" s="51" t="s">
        <v>75</v>
      </c>
      <c r="N14" s="51" t="s">
        <v>61</v>
      </c>
      <c r="O14" s="52" t="s">
        <v>76</v>
      </c>
      <c r="P14" s="53" t="s">
        <v>77</v>
      </c>
    </row>
    <row r="15" spans="1:16" ht="12.75" customHeight="1" thickBot="1" x14ac:dyDescent="0.25">
      <c r="A15" s="23" t="str">
        <f t="shared" si="0"/>
        <v>IBVS 5837 </v>
      </c>
      <c r="B15" s="3" t="str">
        <f t="shared" si="1"/>
        <v>I</v>
      </c>
      <c r="C15" s="23">
        <f t="shared" si="2"/>
        <v>54295.4902</v>
      </c>
      <c r="D15" s="8" t="str">
        <f t="shared" si="3"/>
        <v>vis</v>
      </c>
      <c r="E15" s="49">
        <f>VLOOKUP(C15,Active!C$21:E$972,3,FALSE)</f>
        <v>10712.019057105752</v>
      </c>
      <c r="F15" s="3" t="s">
        <v>55</v>
      </c>
      <c r="G15" s="8" t="str">
        <f t="shared" si="4"/>
        <v>54295.4902</v>
      </c>
      <c r="H15" s="23">
        <f t="shared" si="5"/>
        <v>10712</v>
      </c>
      <c r="I15" s="50" t="s">
        <v>121</v>
      </c>
      <c r="J15" s="51" t="s">
        <v>122</v>
      </c>
      <c r="K15" s="50">
        <v>10712</v>
      </c>
      <c r="L15" s="50" t="s">
        <v>123</v>
      </c>
      <c r="M15" s="51" t="s">
        <v>60</v>
      </c>
      <c r="N15" s="51" t="s">
        <v>55</v>
      </c>
      <c r="O15" s="52" t="s">
        <v>87</v>
      </c>
      <c r="P15" s="53" t="s">
        <v>124</v>
      </c>
    </row>
    <row r="16" spans="1:16" ht="12.75" customHeight="1" thickBot="1" x14ac:dyDescent="0.25">
      <c r="A16" s="23" t="str">
        <f t="shared" si="0"/>
        <v> JAAVSO 38;120 </v>
      </c>
      <c r="B16" s="3" t="str">
        <f t="shared" si="1"/>
        <v>I</v>
      </c>
      <c r="C16" s="23">
        <f t="shared" si="2"/>
        <v>55077.339699999997</v>
      </c>
      <c r="D16" s="8" t="str">
        <f t="shared" si="3"/>
        <v>vis</v>
      </c>
      <c r="E16" s="49">
        <f>VLOOKUP(C16,Active!C$21:E$972,3,FALSE)</f>
        <v>11110.017513266792</v>
      </c>
      <c r="F16" s="3" t="s">
        <v>55</v>
      </c>
      <c r="G16" s="8" t="str">
        <f t="shared" si="4"/>
        <v>55077.3397</v>
      </c>
      <c r="H16" s="23">
        <f t="shared" si="5"/>
        <v>11110</v>
      </c>
      <c r="I16" s="50" t="s">
        <v>131</v>
      </c>
      <c r="J16" s="51" t="s">
        <v>132</v>
      </c>
      <c r="K16" s="50">
        <v>11110</v>
      </c>
      <c r="L16" s="50" t="s">
        <v>133</v>
      </c>
      <c r="M16" s="51" t="s">
        <v>60</v>
      </c>
      <c r="N16" s="51" t="s">
        <v>134</v>
      </c>
      <c r="O16" s="52" t="s">
        <v>135</v>
      </c>
      <c r="P16" s="52" t="s">
        <v>136</v>
      </c>
    </row>
    <row r="17" spans="1:16" ht="12.75" customHeight="1" thickBot="1" x14ac:dyDescent="0.25">
      <c r="A17" s="23" t="str">
        <f t="shared" si="0"/>
        <v> JAAVSO 38;120 </v>
      </c>
      <c r="B17" s="3" t="str">
        <f t="shared" si="1"/>
        <v>I</v>
      </c>
      <c r="C17" s="23">
        <f t="shared" si="2"/>
        <v>55081.268700000001</v>
      </c>
      <c r="D17" s="8" t="str">
        <f t="shared" si="3"/>
        <v>vis</v>
      </c>
      <c r="E17" s="49">
        <f>VLOOKUP(C17,Active!C$21:E$972,3,FALSE)</f>
        <v>11112.017560506392</v>
      </c>
      <c r="F17" s="3" t="s">
        <v>55</v>
      </c>
      <c r="G17" s="8" t="str">
        <f t="shared" si="4"/>
        <v>55081.2687</v>
      </c>
      <c r="H17" s="23">
        <f t="shared" si="5"/>
        <v>11112</v>
      </c>
      <c r="I17" s="50" t="s">
        <v>137</v>
      </c>
      <c r="J17" s="51" t="s">
        <v>138</v>
      </c>
      <c r="K17" s="50">
        <v>11112</v>
      </c>
      <c r="L17" s="50" t="s">
        <v>139</v>
      </c>
      <c r="M17" s="51" t="s">
        <v>60</v>
      </c>
      <c r="N17" s="51" t="s">
        <v>134</v>
      </c>
      <c r="O17" s="52" t="s">
        <v>135</v>
      </c>
      <c r="P17" s="52" t="s">
        <v>136</v>
      </c>
    </row>
    <row r="18" spans="1:16" ht="12.75" customHeight="1" thickBot="1" x14ac:dyDescent="0.25">
      <c r="A18" s="23" t="str">
        <f t="shared" si="0"/>
        <v>BAVM 215 </v>
      </c>
      <c r="B18" s="3" t="str">
        <f t="shared" si="1"/>
        <v>II</v>
      </c>
      <c r="C18" s="23">
        <f t="shared" si="2"/>
        <v>55461.394</v>
      </c>
      <c r="D18" s="8" t="str">
        <f t="shared" si="3"/>
        <v>vis</v>
      </c>
      <c r="E18" s="49">
        <f>VLOOKUP(C18,Active!C$21:E$972,3,FALSE)</f>
        <v>11305.519356629244</v>
      </c>
      <c r="F18" s="3" t="s">
        <v>55</v>
      </c>
      <c r="G18" s="8" t="str">
        <f t="shared" si="4"/>
        <v>55461.3940</v>
      </c>
      <c r="H18" s="23">
        <f t="shared" si="5"/>
        <v>11305.5</v>
      </c>
      <c r="I18" s="50" t="s">
        <v>140</v>
      </c>
      <c r="J18" s="51" t="s">
        <v>141</v>
      </c>
      <c r="K18" s="50">
        <v>11305.5</v>
      </c>
      <c r="L18" s="50" t="s">
        <v>142</v>
      </c>
      <c r="M18" s="51" t="s">
        <v>60</v>
      </c>
      <c r="N18" s="51" t="s">
        <v>143</v>
      </c>
      <c r="O18" s="52" t="s">
        <v>144</v>
      </c>
      <c r="P18" s="53" t="s">
        <v>145</v>
      </c>
    </row>
    <row r="19" spans="1:16" ht="12.75" customHeight="1" thickBot="1" x14ac:dyDescent="0.25">
      <c r="A19" s="23" t="str">
        <f t="shared" si="0"/>
        <v>BAVM 220 </v>
      </c>
      <c r="B19" s="3" t="str">
        <f t="shared" si="1"/>
        <v>I</v>
      </c>
      <c r="C19" s="23">
        <f t="shared" si="2"/>
        <v>55784.549400000004</v>
      </c>
      <c r="D19" s="8" t="str">
        <f t="shared" si="3"/>
        <v>vis</v>
      </c>
      <c r="E19" s="49">
        <f>VLOOKUP(C19,Active!C$21:E$972,3,FALSE)</f>
        <v>11470.020773206354</v>
      </c>
      <c r="F19" s="3" t="s">
        <v>55</v>
      </c>
      <c r="G19" s="8" t="str">
        <f t="shared" si="4"/>
        <v>55784.5494</v>
      </c>
      <c r="H19" s="23">
        <f t="shared" si="5"/>
        <v>11470</v>
      </c>
      <c r="I19" s="50" t="s">
        <v>146</v>
      </c>
      <c r="J19" s="51" t="s">
        <v>147</v>
      </c>
      <c r="K19" s="50" t="s">
        <v>148</v>
      </c>
      <c r="L19" s="50" t="s">
        <v>149</v>
      </c>
      <c r="M19" s="51" t="s">
        <v>60</v>
      </c>
      <c r="N19" s="51" t="s">
        <v>143</v>
      </c>
      <c r="O19" s="52" t="s">
        <v>144</v>
      </c>
      <c r="P19" s="53" t="s">
        <v>150</v>
      </c>
    </row>
    <row r="20" spans="1:16" ht="12.75" customHeight="1" thickBot="1" x14ac:dyDescent="0.25">
      <c r="A20" s="23" t="str">
        <f t="shared" si="0"/>
        <v> BBS 124 </v>
      </c>
      <c r="B20" s="3" t="str">
        <f t="shared" si="1"/>
        <v>I</v>
      </c>
      <c r="C20" s="23">
        <f t="shared" si="2"/>
        <v>51877.2425</v>
      </c>
      <c r="D20" s="8" t="str">
        <f t="shared" si="3"/>
        <v>vis</v>
      </c>
      <c r="E20" s="49">
        <f>VLOOKUP(C20,Active!C$21:E$972,3,FALSE)</f>
        <v>9481.016349788053</v>
      </c>
      <c r="F20" s="3" t="s">
        <v>55</v>
      </c>
      <c r="G20" s="8" t="str">
        <f t="shared" si="4"/>
        <v>51877.2425</v>
      </c>
      <c r="H20" s="23">
        <f t="shared" si="5"/>
        <v>9481</v>
      </c>
      <c r="I20" s="50" t="s">
        <v>78</v>
      </c>
      <c r="J20" s="51" t="s">
        <v>79</v>
      </c>
      <c r="K20" s="50">
        <v>9481</v>
      </c>
      <c r="L20" s="50" t="s">
        <v>80</v>
      </c>
      <c r="M20" s="51" t="s">
        <v>75</v>
      </c>
      <c r="N20" s="51" t="s">
        <v>81</v>
      </c>
      <c r="O20" s="52" t="s">
        <v>82</v>
      </c>
      <c r="P20" s="52" t="s">
        <v>83</v>
      </c>
    </row>
    <row r="21" spans="1:16" ht="12.75" customHeight="1" thickBot="1" x14ac:dyDescent="0.25">
      <c r="A21" s="23" t="str">
        <f t="shared" si="0"/>
        <v> BBS 125 </v>
      </c>
      <c r="B21" s="3" t="str">
        <f t="shared" si="1"/>
        <v>I</v>
      </c>
      <c r="C21" s="23">
        <f t="shared" si="2"/>
        <v>52085.473700000002</v>
      </c>
      <c r="D21" s="8" t="str">
        <f t="shared" si="3"/>
        <v>vis</v>
      </c>
      <c r="E21" s="49">
        <f>VLOOKUP(C21,Active!C$21:E$972,3,FALSE)</f>
        <v>9587.0159010118659</v>
      </c>
      <c r="F21" s="3" t="s">
        <v>55</v>
      </c>
      <c r="G21" s="8" t="str">
        <f t="shared" si="4"/>
        <v>52085.4737</v>
      </c>
      <c r="H21" s="23">
        <f t="shared" si="5"/>
        <v>9587</v>
      </c>
      <c r="I21" s="50" t="s">
        <v>84</v>
      </c>
      <c r="J21" s="51" t="s">
        <v>85</v>
      </c>
      <c r="K21" s="50">
        <v>9587</v>
      </c>
      <c r="L21" s="50" t="s">
        <v>86</v>
      </c>
      <c r="M21" s="51" t="s">
        <v>75</v>
      </c>
      <c r="N21" s="51" t="s">
        <v>81</v>
      </c>
      <c r="O21" s="52" t="s">
        <v>87</v>
      </c>
      <c r="P21" s="52" t="s">
        <v>88</v>
      </c>
    </row>
    <row r="22" spans="1:16" ht="12.75" customHeight="1" thickBot="1" x14ac:dyDescent="0.25">
      <c r="A22" s="23" t="str">
        <f t="shared" si="0"/>
        <v> BBS 126 </v>
      </c>
      <c r="B22" s="3" t="str">
        <f t="shared" si="1"/>
        <v>I</v>
      </c>
      <c r="C22" s="23">
        <f t="shared" si="2"/>
        <v>52144.407599999999</v>
      </c>
      <c r="D22" s="8" t="str">
        <f t="shared" si="3"/>
        <v>vis</v>
      </c>
      <c r="E22" s="49">
        <f>VLOOKUP(C22,Active!C$21:E$972,3,FALSE)</f>
        <v>9617.0160496537046</v>
      </c>
      <c r="F22" s="3" t="s">
        <v>55</v>
      </c>
      <c r="G22" s="8" t="str">
        <f t="shared" si="4"/>
        <v>52144.4076</v>
      </c>
      <c r="H22" s="23">
        <f t="shared" si="5"/>
        <v>9617</v>
      </c>
      <c r="I22" s="50" t="s">
        <v>89</v>
      </c>
      <c r="J22" s="51" t="s">
        <v>90</v>
      </c>
      <c r="K22" s="50">
        <v>9617</v>
      </c>
      <c r="L22" s="50" t="s">
        <v>91</v>
      </c>
      <c r="M22" s="51" t="s">
        <v>75</v>
      </c>
      <c r="N22" s="51" t="s">
        <v>81</v>
      </c>
      <c r="O22" s="52" t="s">
        <v>87</v>
      </c>
      <c r="P22" s="52" t="s">
        <v>92</v>
      </c>
    </row>
    <row r="23" spans="1:16" ht="12.75" customHeight="1" thickBot="1" x14ac:dyDescent="0.25">
      <c r="A23" s="23" t="str">
        <f t="shared" si="0"/>
        <v>IBVS 5809 </v>
      </c>
      <c r="B23" s="3" t="str">
        <f t="shared" si="1"/>
        <v>II</v>
      </c>
      <c r="C23" s="23">
        <f t="shared" si="2"/>
        <v>52605.076000000001</v>
      </c>
      <c r="D23" s="8" t="str">
        <f t="shared" si="3"/>
        <v>vis</v>
      </c>
      <c r="E23" s="49">
        <f>VLOOKUP(C23,Active!C$21:E$972,3,FALSE)</f>
        <v>9851.5181015219714</v>
      </c>
      <c r="F23" s="3" t="s">
        <v>55</v>
      </c>
      <c r="G23" s="8" t="str">
        <f t="shared" si="4"/>
        <v>52605.076</v>
      </c>
      <c r="H23" s="23">
        <f t="shared" si="5"/>
        <v>9851.5</v>
      </c>
      <c r="I23" s="50" t="s">
        <v>93</v>
      </c>
      <c r="J23" s="51" t="s">
        <v>94</v>
      </c>
      <c r="K23" s="50">
        <v>9851.5</v>
      </c>
      <c r="L23" s="50" t="s">
        <v>95</v>
      </c>
      <c r="M23" s="51" t="s">
        <v>60</v>
      </c>
      <c r="N23" s="51" t="s">
        <v>55</v>
      </c>
      <c r="O23" s="52" t="s">
        <v>96</v>
      </c>
      <c r="P23" s="53" t="s">
        <v>97</v>
      </c>
    </row>
    <row r="24" spans="1:16" ht="12.75" customHeight="1" thickBot="1" x14ac:dyDescent="0.25">
      <c r="A24" s="23" t="str">
        <f t="shared" si="0"/>
        <v>IBVS 5809 </v>
      </c>
      <c r="B24" s="3" t="str">
        <f t="shared" si="1"/>
        <v>I</v>
      </c>
      <c r="C24" s="23">
        <f t="shared" si="2"/>
        <v>52606.055</v>
      </c>
      <c r="D24" s="8" t="str">
        <f t="shared" si="3"/>
        <v>vis</v>
      </c>
      <c r="E24" s="49">
        <f>VLOOKUP(C24,Active!C$21:E$972,3,FALSE)</f>
        <v>9852.0164589278156</v>
      </c>
      <c r="F24" s="3" t="s">
        <v>55</v>
      </c>
      <c r="G24" s="8" t="str">
        <f t="shared" si="4"/>
        <v>52606.055</v>
      </c>
      <c r="H24" s="23">
        <f t="shared" si="5"/>
        <v>9852</v>
      </c>
      <c r="I24" s="50" t="s">
        <v>98</v>
      </c>
      <c r="J24" s="51" t="s">
        <v>99</v>
      </c>
      <c r="K24" s="50">
        <v>9852</v>
      </c>
      <c r="L24" s="50" t="s">
        <v>100</v>
      </c>
      <c r="M24" s="51" t="s">
        <v>60</v>
      </c>
      <c r="N24" s="51" t="s">
        <v>55</v>
      </c>
      <c r="O24" s="52" t="s">
        <v>96</v>
      </c>
      <c r="P24" s="53" t="s">
        <v>97</v>
      </c>
    </row>
    <row r="25" spans="1:16" ht="12.75" customHeight="1" thickBot="1" x14ac:dyDescent="0.25">
      <c r="A25" s="23" t="str">
        <f t="shared" si="0"/>
        <v>IBVS 5809 </v>
      </c>
      <c r="B25" s="3" t="str">
        <f t="shared" si="1"/>
        <v>II</v>
      </c>
      <c r="C25" s="23">
        <f t="shared" si="2"/>
        <v>52607.036800000002</v>
      </c>
      <c r="D25" s="8" t="str">
        <f t="shared" si="3"/>
        <v>vis</v>
      </c>
      <c r="E25" s="49">
        <f>VLOOKUP(C25,Active!C$21:E$972,3,FALSE)</f>
        <v>9852.5162416663861</v>
      </c>
      <c r="F25" s="3" t="s">
        <v>55</v>
      </c>
      <c r="G25" s="8" t="str">
        <f t="shared" si="4"/>
        <v>52607.0368</v>
      </c>
      <c r="H25" s="23">
        <f t="shared" si="5"/>
        <v>9852.5</v>
      </c>
      <c r="I25" s="50" t="s">
        <v>101</v>
      </c>
      <c r="J25" s="51" t="s">
        <v>102</v>
      </c>
      <c r="K25" s="50">
        <v>9852.5</v>
      </c>
      <c r="L25" s="50" t="s">
        <v>103</v>
      </c>
      <c r="M25" s="51" t="s">
        <v>60</v>
      </c>
      <c r="N25" s="51" t="s">
        <v>55</v>
      </c>
      <c r="O25" s="52" t="s">
        <v>96</v>
      </c>
      <c r="P25" s="53" t="s">
        <v>97</v>
      </c>
    </row>
    <row r="26" spans="1:16" ht="12.75" customHeight="1" thickBot="1" x14ac:dyDescent="0.25">
      <c r="A26" s="23" t="str">
        <f t="shared" si="0"/>
        <v>IBVS 5809 </v>
      </c>
      <c r="B26" s="3" t="str">
        <f t="shared" si="1"/>
        <v>I</v>
      </c>
      <c r="C26" s="23">
        <f t="shared" si="2"/>
        <v>52608.019800000002</v>
      </c>
      <c r="D26" s="8" t="str">
        <f t="shared" si="3"/>
        <v>vis</v>
      </c>
      <c r="E26" s="49">
        <f>VLOOKUP(C26,Active!C$21:E$972,3,FALSE)</f>
        <v>9853.0166352618362</v>
      </c>
      <c r="F26" s="3" t="s">
        <v>55</v>
      </c>
      <c r="G26" s="8" t="str">
        <f t="shared" si="4"/>
        <v>52608.0198</v>
      </c>
      <c r="H26" s="23">
        <f t="shared" si="5"/>
        <v>9853</v>
      </c>
      <c r="I26" s="50" t="s">
        <v>104</v>
      </c>
      <c r="J26" s="51" t="s">
        <v>105</v>
      </c>
      <c r="K26" s="50">
        <v>9853</v>
      </c>
      <c r="L26" s="50" t="s">
        <v>106</v>
      </c>
      <c r="M26" s="51" t="s">
        <v>60</v>
      </c>
      <c r="N26" s="51" t="s">
        <v>55</v>
      </c>
      <c r="O26" s="52" t="s">
        <v>96</v>
      </c>
      <c r="P26" s="53" t="s">
        <v>97</v>
      </c>
    </row>
    <row r="27" spans="1:16" ht="12.75" customHeight="1" thickBot="1" x14ac:dyDescent="0.25">
      <c r="A27" s="23" t="str">
        <f t="shared" si="0"/>
        <v>IBVS 5809 </v>
      </c>
      <c r="B27" s="3" t="str">
        <f t="shared" si="1"/>
        <v>II</v>
      </c>
      <c r="C27" s="23">
        <f t="shared" si="2"/>
        <v>52608.995199999998</v>
      </c>
      <c r="D27" s="8" t="str">
        <f t="shared" si="3"/>
        <v>vis</v>
      </c>
      <c r="E27" s="49">
        <f>VLOOKUP(C27,Active!C$21:E$972,3,FALSE)</f>
        <v>9853.5131600970362</v>
      </c>
      <c r="F27" s="3" t="s">
        <v>55</v>
      </c>
      <c r="G27" s="8" t="str">
        <f t="shared" si="4"/>
        <v>52608.9952</v>
      </c>
      <c r="H27" s="23">
        <f t="shared" si="5"/>
        <v>9853.5</v>
      </c>
      <c r="I27" s="50" t="s">
        <v>107</v>
      </c>
      <c r="J27" s="51" t="s">
        <v>108</v>
      </c>
      <c r="K27" s="50">
        <v>9853.5</v>
      </c>
      <c r="L27" s="50" t="s">
        <v>109</v>
      </c>
      <c r="M27" s="51" t="s">
        <v>60</v>
      </c>
      <c r="N27" s="51" t="s">
        <v>55</v>
      </c>
      <c r="O27" s="52" t="s">
        <v>96</v>
      </c>
      <c r="P27" s="53" t="s">
        <v>97</v>
      </c>
    </row>
    <row r="28" spans="1:16" ht="12.75" customHeight="1" thickBot="1" x14ac:dyDescent="0.25">
      <c r="A28" s="23" t="str">
        <f t="shared" si="0"/>
        <v>IBVS 5809 </v>
      </c>
      <c r="B28" s="3" t="str">
        <f t="shared" si="1"/>
        <v>I</v>
      </c>
      <c r="C28" s="23">
        <f t="shared" si="2"/>
        <v>52609.983800000002</v>
      </c>
      <c r="D28" s="8" t="str">
        <f t="shared" si="3"/>
        <v>vis</v>
      </c>
      <c r="E28" s="49">
        <f>VLOOKUP(C28,Active!C$21:E$972,3,FALSE)</f>
        <v>9854.0164043579352</v>
      </c>
      <c r="F28" s="3" t="s">
        <v>55</v>
      </c>
      <c r="G28" s="8" t="str">
        <f t="shared" si="4"/>
        <v>52609.9838</v>
      </c>
      <c r="H28" s="23">
        <f t="shared" si="5"/>
        <v>9854</v>
      </c>
      <c r="I28" s="50" t="s">
        <v>110</v>
      </c>
      <c r="J28" s="51" t="s">
        <v>111</v>
      </c>
      <c r="K28" s="50">
        <v>9854</v>
      </c>
      <c r="L28" s="50" t="s">
        <v>112</v>
      </c>
      <c r="M28" s="51" t="s">
        <v>60</v>
      </c>
      <c r="N28" s="51" t="s">
        <v>55</v>
      </c>
      <c r="O28" s="52" t="s">
        <v>96</v>
      </c>
      <c r="P28" s="53" t="s">
        <v>97</v>
      </c>
    </row>
    <row r="29" spans="1:16" ht="12.75" customHeight="1" thickBot="1" x14ac:dyDescent="0.25">
      <c r="A29" s="23" t="str">
        <f t="shared" si="0"/>
        <v>IBVS 5809 </v>
      </c>
      <c r="B29" s="3" t="str">
        <f t="shared" si="1"/>
        <v>II</v>
      </c>
      <c r="C29" s="23">
        <f t="shared" si="2"/>
        <v>52610.964800000002</v>
      </c>
      <c r="D29" s="8" t="str">
        <f t="shared" si="3"/>
        <v>vis</v>
      </c>
      <c r="E29" s="49">
        <f>VLOOKUP(C29,Active!C$21:E$972,3,FALSE)</f>
        <v>9854.5157798585842</v>
      </c>
      <c r="F29" s="3" t="s">
        <v>55</v>
      </c>
      <c r="G29" s="8" t="str">
        <f t="shared" si="4"/>
        <v>52610.9648</v>
      </c>
      <c r="H29" s="23">
        <f t="shared" si="5"/>
        <v>9854.5</v>
      </c>
      <c r="I29" s="50" t="s">
        <v>113</v>
      </c>
      <c r="J29" s="51" t="s">
        <v>114</v>
      </c>
      <c r="K29" s="50">
        <v>9854.5</v>
      </c>
      <c r="L29" s="50" t="s">
        <v>115</v>
      </c>
      <c r="M29" s="51" t="s">
        <v>60</v>
      </c>
      <c r="N29" s="51" t="s">
        <v>55</v>
      </c>
      <c r="O29" s="52" t="s">
        <v>96</v>
      </c>
      <c r="P29" s="53" t="s">
        <v>97</v>
      </c>
    </row>
    <row r="30" spans="1:16" ht="12.75" customHeight="1" thickBot="1" x14ac:dyDescent="0.25">
      <c r="A30" s="23" t="str">
        <f t="shared" si="0"/>
        <v>IBVS 5809 </v>
      </c>
      <c r="B30" s="3" t="str">
        <f t="shared" si="1"/>
        <v>I</v>
      </c>
      <c r="C30" s="23">
        <f t="shared" si="2"/>
        <v>52613.912100000001</v>
      </c>
      <c r="D30" s="8" t="str">
        <f t="shared" si="3"/>
        <v>vis</v>
      </c>
      <c r="E30" s="49">
        <f>VLOOKUP(C30,Active!C$21:E$972,3,FALSE)</f>
        <v>9856.0160952643528</v>
      </c>
      <c r="F30" s="3" t="s">
        <v>55</v>
      </c>
      <c r="G30" s="8" t="str">
        <f t="shared" si="4"/>
        <v>52613.9121</v>
      </c>
      <c r="H30" s="23">
        <f t="shared" si="5"/>
        <v>9856</v>
      </c>
      <c r="I30" s="50" t="s">
        <v>116</v>
      </c>
      <c r="J30" s="51" t="s">
        <v>117</v>
      </c>
      <c r="K30" s="50">
        <v>9856</v>
      </c>
      <c r="L30" s="50" t="s">
        <v>74</v>
      </c>
      <c r="M30" s="51" t="s">
        <v>60</v>
      </c>
      <c r="N30" s="51" t="s">
        <v>55</v>
      </c>
      <c r="O30" s="52" t="s">
        <v>96</v>
      </c>
      <c r="P30" s="53" t="s">
        <v>97</v>
      </c>
    </row>
    <row r="31" spans="1:16" ht="12.75" customHeight="1" thickBot="1" x14ac:dyDescent="0.25">
      <c r="A31" s="23" t="str">
        <f t="shared" si="0"/>
        <v>IBVS 5809 </v>
      </c>
      <c r="B31" s="3" t="str">
        <f t="shared" si="1"/>
        <v>I</v>
      </c>
      <c r="C31" s="23">
        <f t="shared" si="2"/>
        <v>52615.880599999997</v>
      </c>
      <c r="D31" s="8" t="str">
        <f t="shared" si="3"/>
        <v>vis</v>
      </c>
      <c r="E31" s="49">
        <f>VLOOKUP(C31,Active!C$21:E$972,3,FALSE)</f>
        <v>9857.0181550737561</v>
      </c>
      <c r="F31" s="3" t="s">
        <v>55</v>
      </c>
      <c r="G31" s="8" t="str">
        <f t="shared" si="4"/>
        <v>52615.8806</v>
      </c>
      <c r="H31" s="23">
        <f t="shared" si="5"/>
        <v>9857</v>
      </c>
      <c r="I31" s="50" t="s">
        <v>118</v>
      </c>
      <c r="J31" s="51" t="s">
        <v>119</v>
      </c>
      <c r="K31" s="50">
        <v>9857</v>
      </c>
      <c r="L31" s="50" t="s">
        <v>120</v>
      </c>
      <c r="M31" s="51" t="s">
        <v>60</v>
      </c>
      <c r="N31" s="51" t="s">
        <v>55</v>
      </c>
      <c r="O31" s="52" t="s">
        <v>96</v>
      </c>
      <c r="P31" s="53" t="s">
        <v>97</v>
      </c>
    </row>
    <row r="32" spans="1:16" ht="12.75" customHeight="1" thickBot="1" x14ac:dyDescent="0.25">
      <c r="A32" s="23" t="str">
        <f t="shared" si="0"/>
        <v>OEJV 0107 </v>
      </c>
      <c r="B32" s="3" t="str">
        <f t="shared" si="1"/>
        <v>I</v>
      </c>
      <c r="C32" s="23">
        <f t="shared" si="2"/>
        <v>54297.453300000001</v>
      </c>
      <c r="D32" s="8" t="str">
        <f t="shared" si="3"/>
        <v>vis</v>
      </c>
      <c r="E32" s="49" t="e">
        <f>VLOOKUP(C32,Active!C$21:E$972,3,FALSE)</f>
        <v>#N/A</v>
      </c>
      <c r="F32" s="3" t="s">
        <v>55</v>
      </c>
      <c r="G32" s="8" t="str">
        <f t="shared" si="4"/>
        <v>54297.4533</v>
      </c>
      <c r="H32" s="23">
        <f t="shared" si="5"/>
        <v>10713</v>
      </c>
      <c r="I32" s="50" t="s">
        <v>125</v>
      </c>
      <c r="J32" s="51" t="s">
        <v>126</v>
      </c>
      <c r="K32" s="50">
        <v>10713</v>
      </c>
      <c r="L32" s="50" t="s">
        <v>127</v>
      </c>
      <c r="M32" s="51" t="s">
        <v>60</v>
      </c>
      <c r="N32" s="51" t="s">
        <v>128</v>
      </c>
      <c r="O32" s="52" t="s">
        <v>129</v>
      </c>
      <c r="P32" s="53" t="s">
        <v>130</v>
      </c>
    </row>
    <row r="33" spans="2:6" x14ac:dyDescent="0.2">
      <c r="B33" s="3"/>
      <c r="E33" s="49"/>
      <c r="F33" s="3"/>
    </row>
    <row r="34" spans="2:6" x14ac:dyDescent="0.2">
      <c r="B34" s="3"/>
      <c r="E34" s="49"/>
      <c r="F34" s="3"/>
    </row>
    <row r="35" spans="2:6" x14ac:dyDescent="0.2">
      <c r="B35" s="3"/>
      <c r="E35" s="49"/>
      <c r="F35" s="3"/>
    </row>
    <row r="36" spans="2:6" x14ac:dyDescent="0.2">
      <c r="B36" s="3"/>
      <c r="E36" s="49"/>
      <c r="F36" s="3"/>
    </row>
    <row r="37" spans="2:6" x14ac:dyDescent="0.2">
      <c r="B37" s="3"/>
      <c r="E37" s="49"/>
      <c r="F37" s="3"/>
    </row>
    <row r="38" spans="2:6" x14ac:dyDescent="0.2">
      <c r="B38" s="3"/>
      <c r="E38" s="49"/>
      <c r="F38" s="3"/>
    </row>
    <row r="39" spans="2:6" x14ac:dyDescent="0.2">
      <c r="B39" s="3"/>
      <c r="E39" s="49"/>
      <c r="F39" s="3"/>
    </row>
    <row r="40" spans="2:6" x14ac:dyDescent="0.2">
      <c r="B40" s="3"/>
      <c r="E40" s="49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</sheetData>
  <phoneticPr fontId="7" type="noConversion"/>
  <hyperlinks>
    <hyperlink ref="P11" r:id="rId1" display="http://var.astro.cz/oejv/issues/oejv0074.pdf"/>
    <hyperlink ref="P12" r:id="rId2" display="http://var.astro.cz/oejv/issues/oejv0074.pdf"/>
    <hyperlink ref="P13" r:id="rId3" display="http://var.astro.cz/oejv/issues/oejv0074.pdf"/>
    <hyperlink ref="P14" r:id="rId4" display="http://www.bav-astro.de/sfs/BAVM_link.php?BAVMnr=152"/>
    <hyperlink ref="P23" r:id="rId5" display="http://www.konkoly.hu/cgi-bin/IBVS?5809"/>
    <hyperlink ref="P24" r:id="rId6" display="http://www.konkoly.hu/cgi-bin/IBVS?5809"/>
    <hyperlink ref="P25" r:id="rId7" display="http://www.konkoly.hu/cgi-bin/IBVS?5809"/>
    <hyperlink ref="P26" r:id="rId8" display="http://www.konkoly.hu/cgi-bin/IBVS?5809"/>
    <hyperlink ref="P27" r:id="rId9" display="http://www.konkoly.hu/cgi-bin/IBVS?5809"/>
    <hyperlink ref="P28" r:id="rId10" display="http://www.konkoly.hu/cgi-bin/IBVS?5809"/>
    <hyperlink ref="P29" r:id="rId11" display="http://www.konkoly.hu/cgi-bin/IBVS?5809"/>
    <hyperlink ref="P30" r:id="rId12" display="http://www.konkoly.hu/cgi-bin/IBVS?5809"/>
    <hyperlink ref="P31" r:id="rId13" display="http://www.konkoly.hu/cgi-bin/IBVS?5809"/>
    <hyperlink ref="P15" r:id="rId14" display="http://www.konkoly.hu/cgi-bin/IBVS?5837"/>
    <hyperlink ref="P32" r:id="rId15" display="http://var.astro.cz/oejv/issues/oejv0107.pdf"/>
    <hyperlink ref="P18" r:id="rId16" display="http://www.bav-astro.de/sfs/BAVM_link.php?BAVMnr=215"/>
    <hyperlink ref="P19" r:id="rId17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2024-01-31T05:19:07Z</dcterms:modified>
</cp:coreProperties>
</file>