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6C76760-528D-4B33-A9ED-2D6C980316B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2" i="1" l="1"/>
  <c r="D9" i="1"/>
  <c r="C9" i="1"/>
  <c r="Q27" i="1"/>
  <c r="G18" i="2"/>
  <c r="C18" i="2"/>
  <c r="G17" i="2"/>
  <c r="C17" i="2"/>
  <c r="G16" i="2"/>
  <c r="C16" i="2"/>
  <c r="G15" i="2"/>
  <c r="C15" i="2"/>
  <c r="G19" i="2"/>
  <c r="C19" i="2"/>
  <c r="E19" i="2"/>
  <c r="G14" i="2"/>
  <c r="C14" i="2"/>
  <c r="G13" i="2"/>
  <c r="C13" i="2"/>
  <c r="G12" i="2"/>
  <c r="C12" i="2"/>
  <c r="G11" i="2"/>
  <c r="C11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9" i="2"/>
  <c r="B19" i="2"/>
  <c r="D19" i="2"/>
  <c r="A19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C7" i="1"/>
  <c r="E27" i="1"/>
  <c r="F27" i="1"/>
  <c r="C8" i="1"/>
  <c r="Q30" i="1"/>
  <c r="Q31" i="1"/>
  <c r="F16" i="1"/>
  <c r="F17" i="1" s="1"/>
  <c r="C17" i="1"/>
  <c r="Q23" i="1"/>
  <c r="Q25" i="1"/>
  <c r="Q29" i="1"/>
  <c r="Q28" i="1"/>
  <c r="Q26" i="1"/>
  <c r="Q24" i="1"/>
  <c r="Q22" i="1"/>
  <c r="Q21" i="1"/>
  <c r="E11" i="2"/>
  <c r="E15" i="2"/>
  <c r="E13" i="2"/>
  <c r="E17" i="2"/>
  <c r="E18" i="2"/>
  <c r="E14" i="2"/>
  <c r="E25" i="1"/>
  <c r="F25" i="1"/>
  <c r="E31" i="1"/>
  <c r="F31" i="1"/>
  <c r="E28" i="1"/>
  <c r="F28" i="1"/>
  <c r="G28" i="1"/>
  <c r="J28" i="1"/>
  <c r="E22" i="1"/>
  <c r="F22" i="1"/>
  <c r="E21" i="1"/>
  <c r="F21" i="1"/>
  <c r="G21" i="1"/>
  <c r="H21" i="1"/>
  <c r="E24" i="1"/>
  <c r="F24" i="1"/>
  <c r="G24" i="1"/>
  <c r="J24" i="1"/>
  <c r="E30" i="1"/>
  <c r="F30" i="1"/>
  <c r="G30" i="1"/>
  <c r="J30" i="1"/>
  <c r="G23" i="1"/>
  <c r="K23" i="1"/>
  <c r="G29" i="1"/>
  <c r="K29" i="1"/>
  <c r="E26" i="1"/>
  <c r="F26" i="1"/>
  <c r="G26" i="1"/>
  <c r="K26" i="1"/>
  <c r="G27" i="1"/>
  <c r="K27" i="1"/>
  <c r="G25" i="1"/>
  <c r="K25" i="1"/>
  <c r="E23" i="1"/>
  <c r="F23" i="1"/>
  <c r="E32" i="1"/>
  <c r="F32" i="1"/>
  <c r="G32" i="1"/>
  <c r="K32" i="1"/>
  <c r="G31" i="1"/>
  <c r="J31" i="1"/>
  <c r="E29" i="1"/>
  <c r="F29" i="1"/>
  <c r="G22" i="1"/>
  <c r="I22" i="1"/>
  <c r="E16" i="2"/>
  <c r="E12" i="2"/>
  <c r="C11" i="1"/>
  <c r="C12" i="1"/>
  <c r="C16" i="1" l="1"/>
  <c r="D18" i="1" s="1"/>
  <c r="O21" i="1"/>
  <c r="O31" i="1"/>
  <c r="C15" i="1"/>
  <c r="F18" i="1" s="1"/>
  <c r="O26" i="1"/>
  <c r="O22" i="1"/>
  <c r="O23" i="1"/>
  <c r="O24" i="1"/>
  <c r="O28" i="1"/>
  <c r="O30" i="1"/>
  <c r="O27" i="1"/>
  <c r="O32" i="1"/>
  <c r="O25" i="1"/>
  <c r="O29" i="1"/>
  <c r="F19" i="1" l="1"/>
  <c r="C18" i="1"/>
</calcChain>
</file>

<file path=xl/sharedStrings.xml><?xml version="1.0" encoding="utf-8"?>
<sst xmlns="http://schemas.openxmlformats.org/spreadsheetml/2006/main" count="153" uniqueCount="114">
  <si>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</si>
  <si>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</si>
  <si>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</si>
  <si>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</si>
  <si>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</si>
  <si>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</si>
  <si>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</si>
  <si>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</si>
  <si>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</si>
  <si>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</si>
  <si>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</si>
  <si>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</si>
  <si>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</si>
  <si>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</si>
  <si>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</si>
  <si>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</si>
  <si>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</si>
  <si>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</si>
  <si>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</si>
  <si>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</si>
  <si>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</si>
  <si>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</si>
  <si>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</si>
  <si>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</si>
  <si>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</si>
  <si>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</si>
  <si>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</si>
  <si>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</si>
  <si>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</si>
  <si>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</si>
  <si>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Bull.113</t>
  </si>
  <si>
    <t>B</t>
  </si>
  <si>
    <t>IBVS 5287</t>
  </si>
  <si>
    <t># of data points:</t>
  </si>
  <si>
    <t>IBVS 5672</t>
  </si>
  <si>
    <t>IBVS 5731</t>
  </si>
  <si>
    <t>EB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</si>
  <si>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</si>
  <si>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</si>
  <si>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</si>
  <si>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</si>
  <si>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</si>
  <si>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</si>
  <si>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I</t>
  </si>
  <si>
    <t>Start of linear fit &gt;&gt;&gt;&gt;&gt;&gt;&gt;&gt;&gt;&gt;&gt;&gt;&gt;&gt;&gt;&gt;&gt;&gt;&gt;&gt;&gt;</t>
  </si>
  <si>
    <t>OEJV 0074</t>
  </si>
  <si>
    <t>CCD</t>
  </si>
  <si>
    <t>Add cycle</t>
  </si>
  <si>
    <t>Old Cycle</t>
  </si>
  <si>
    <t>IBVS 5959</t>
  </si>
  <si>
    <t>IBVS 6010</t>
  </si>
  <si>
    <t>II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</si>
  <si>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</si>
  <si>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</si>
  <si>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</si>
  <si>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</si>
  <si>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</si>
  <si>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</si>
  <si>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</si>
  <si>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</si>
  <si>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</si>
  <si>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</si>
  <si>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2450313.414 </t>
  </si>
  <si>
    <t> 17.08.1996 21:56 </t>
  </si>
  <si>
    <t> 0.026 </t>
  </si>
  <si>
    <t>E </t>
  </si>
  <si>
    <t>?</t>
  </si>
  <si>
    <t> R.Diethelm </t>
  </si>
  <si>
    <t> BBS 113 </t>
  </si>
  <si>
    <t>2451707.43718 </t>
  </si>
  <si>
    <t> 11.06.2000 22:29 </t>
  </si>
  <si>
    <t> 0.01208 </t>
  </si>
  <si>
    <t>C </t>
  </si>
  <si>
    <t>o</t>
  </si>
  <si>
    <t> J.Šafár </t>
  </si>
  <si>
    <t>OEJV 0074 </t>
  </si>
  <si>
    <t>2451841.4358 </t>
  </si>
  <si>
    <t> 23.10.2000 22:27 </t>
  </si>
  <si>
    <t> 0.0182 </t>
  </si>
  <si>
    <t> M.Zejda </t>
  </si>
  <si>
    <t>IBVS 5287 </t>
  </si>
  <si>
    <t>2452127.45540 </t>
  </si>
  <si>
    <t> 05.08.2001 22:55 </t>
  </si>
  <si>
    <t> 0.01531 </t>
  </si>
  <si>
    <t> K.Koss </t>
  </si>
  <si>
    <t>2453500.8803 </t>
  </si>
  <si>
    <t> 10.05.2005 09:07 </t>
  </si>
  <si>
    <t> 0.0170 </t>
  </si>
  <si>
    <t> R. Nelson </t>
  </si>
  <si>
    <t>IBVS 5672 </t>
  </si>
  <si>
    <t>2453658.3893 </t>
  </si>
  <si>
    <t> 14.10.2005 21:20 </t>
  </si>
  <si>
    <t> 0.0204 </t>
  </si>
  <si>
    <t>-I</t>
  </si>
  <si>
    <t> Agerer </t>
  </si>
  <si>
    <t>BAVM 178 </t>
  </si>
  <si>
    <t>2453934.4227 </t>
  </si>
  <si>
    <t> 17.07.2006 22:08 </t>
  </si>
  <si>
    <t>32798</t>
  </si>
  <si>
    <t> 0.0163 </t>
  </si>
  <si>
    <t> R. Diethelm </t>
  </si>
  <si>
    <t> BBS 133 (=IBVS 5781) </t>
  </si>
  <si>
    <t>2455377.4176 </t>
  </si>
  <si>
    <t> 29.06.2010 22:01 </t>
  </si>
  <si>
    <t>35038</t>
  </si>
  <si>
    <t> 0.0149 </t>
  </si>
  <si>
    <t> F.Agerer </t>
  </si>
  <si>
    <t>BAVM 214 </t>
  </si>
  <si>
    <t>2455711.4333 </t>
  </si>
  <si>
    <t> 29.05.2011 22:23 </t>
  </si>
  <si>
    <t>35556.5</t>
  </si>
  <si>
    <t> 0.0156 </t>
  </si>
  <si>
    <t>BAVM 220 </t>
  </si>
  <si>
    <t>V0824 Cyg / gsc 2682-2988?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</si>
</sst>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4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5" fillId="0" borderId="0"/>
    <xf numFmtId="0" fontId="8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0">
    <xf numFmtId="0" fontId="0" fillId="0" borderId="0" xfId="0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4" fillId="0" borderId="1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3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6" fillId="0" borderId="0" xfId="0" applyFont="1" applyAlignment="1"/>
    <xf numFmtId="176" fontId="8" fillId="24" borderId="0" xfId="28" applyNumberFormat="1" applyFont="1" applyFill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9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4" fillId="25" borderId="18" xfId="0" applyFont="1" applyFill="1" applyBorder="1" applyAlignment="1">
      <alignment horizontal="left" vertical="top" wrapText="1" indent="1"/>
    </xf>
    <xf numFmtId="0" fontId="4" fillId="25" borderId="18" xfId="0" applyFont="1" applyFill="1" applyBorder="1" applyAlignment="1">
      <alignment horizontal="center" vertical="top" wrapText="1"/>
    </xf>
    <xf numFmtId="0" fontId="4" fillId="25" borderId="18" xfId="0" applyFont="1" applyFill="1" applyBorder="1" applyAlignment="1">
      <alignment horizontal="right" vertical="top" wrapText="1"/>
    </xf>
    <xf numFmtId="0" fontId="19" fillId="25" borderId="18" xfId="39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15" fillId="0" borderId="0" xfId="43" applyFont="1" applyAlignment="1">
      <alignment wrapText="1"/>
    </xf>
    <xf numFmtId="0" fontId="15" fillId="0" borderId="0" xfId="43" applyFont="1" applyAlignment="1">
      <alignment horizontal="center" wrapText="1"/>
    </xf>
    <xf numFmtId="0" fontId="15" fillId="0" borderId="0" xfId="43" applyFont="1" applyAlignment="1">
      <alignment horizontal="left" wrapText="1"/>
    </xf>
    <xf numFmtId="0" fontId="36" fillId="0" borderId="0" xfId="0" applyFont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/>
    <cellStyle name="Currency0" xfId="30"/>
    <cellStyle name="Date" xfId="31"/>
    <cellStyle name="Explanatory Text" xfId="32" builtinId="53" customBuiltin="1"/>
    <cellStyle name="Fixed" xfId="33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A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V0824 Cyg - O-C Diagr.</a:t>
            </a:r>
          </a:p>
        </c:rich>
      </c:tx>
      <c:layout>
        <c:manualLayout>
          <c:xMode val="edge"/>
          <c:yMode val="edge"/>
          <c:x val="0.3611116257526632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2506865468727"/>
          <c:y val="0.14769252958613219"/>
          <c:w val="0.80392285143939479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27177</c:v>
                </c:pt>
                <c:pt idx="2">
                  <c:v>29341</c:v>
                </c:pt>
                <c:pt idx="3">
                  <c:v>29549</c:v>
                </c:pt>
                <c:pt idx="4">
                  <c:v>29993</c:v>
                </c:pt>
                <c:pt idx="5">
                  <c:v>32125</c:v>
                </c:pt>
                <c:pt idx="6">
                  <c:v>32125</c:v>
                </c:pt>
                <c:pt idx="7">
                  <c:v>32369.5</c:v>
                </c:pt>
                <c:pt idx="8">
                  <c:v>32798</c:v>
                </c:pt>
                <c:pt idx="9">
                  <c:v>35038</c:v>
                </c:pt>
                <c:pt idx="10">
                  <c:v>35556.5</c:v>
                </c:pt>
                <c:pt idx="11">
                  <c:v>38448.5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6-42A6-8BFA-1DB08F3124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4.0000000000000001E-3</c:v>
                  </c:pt>
                  <c:pt idx="2">
                    <c:v>2.8E-3</c:v>
                  </c:pt>
                  <c:pt idx="3">
                    <c:v>5.4000000000000003E-3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4.1000000000000003E-3</c:v>
                  </c:pt>
                  <c:pt idx="10">
                    <c:v>4.1000000000000003E-3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4.0000000000000001E-3</c:v>
                  </c:pt>
                  <c:pt idx="2">
                    <c:v>2.8E-3</c:v>
                  </c:pt>
                  <c:pt idx="3">
                    <c:v>5.4000000000000003E-3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4.1000000000000003E-3</c:v>
                  </c:pt>
                  <c:pt idx="10">
                    <c:v>4.1000000000000003E-3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27177</c:v>
                </c:pt>
                <c:pt idx="2">
                  <c:v>29341</c:v>
                </c:pt>
                <c:pt idx="3">
                  <c:v>29549</c:v>
                </c:pt>
                <c:pt idx="4">
                  <c:v>29993</c:v>
                </c:pt>
                <c:pt idx="5">
                  <c:v>32125</c:v>
                </c:pt>
                <c:pt idx="6">
                  <c:v>32125</c:v>
                </c:pt>
                <c:pt idx="7">
                  <c:v>32369.5</c:v>
                </c:pt>
                <c:pt idx="8">
                  <c:v>32798</c:v>
                </c:pt>
                <c:pt idx="9">
                  <c:v>35038</c:v>
                </c:pt>
                <c:pt idx="10">
                  <c:v>35556.5</c:v>
                </c:pt>
                <c:pt idx="11">
                  <c:v>38448.5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2.6371594991360325E-2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16-42A6-8BFA-1DB08F3124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4.0000000000000001E-3</c:v>
                  </c:pt>
                  <c:pt idx="2">
                    <c:v>2.8E-3</c:v>
                  </c:pt>
                  <c:pt idx="3">
                    <c:v>5.4000000000000003E-3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4.1000000000000003E-3</c:v>
                  </c:pt>
                  <c:pt idx="10">
                    <c:v>4.1000000000000003E-3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4.0000000000000001E-3</c:v>
                  </c:pt>
                  <c:pt idx="2">
                    <c:v>2.8E-3</c:v>
                  </c:pt>
                  <c:pt idx="3">
                    <c:v>5.4000000000000003E-3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4.1000000000000003E-3</c:v>
                  </c:pt>
                  <c:pt idx="10">
                    <c:v>4.1000000000000003E-3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27177</c:v>
                </c:pt>
                <c:pt idx="2">
                  <c:v>29341</c:v>
                </c:pt>
                <c:pt idx="3">
                  <c:v>29549</c:v>
                </c:pt>
                <c:pt idx="4">
                  <c:v>29993</c:v>
                </c:pt>
                <c:pt idx="5">
                  <c:v>32125</c:v>
                </c:pt>
                <c:pt idx="6">
                  <c:v>32125</c:v>
                </c:pt>
                <c:pt idx="7">
                  <c:v>32369.5</c:v>
                </c:pt>
                <c:pt idx="8">
                  <c:v>32798</c:v>
                </c:pt>
                <c:pt idx="9">
                  <c:v>35038</c:v>
                </c:pt>
                <c:pt idx="10">
                  <c:v>35556.5</c:v>
                </c:pt>
                <c:pt idx="11">
                  <c:v>38448.5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3">
                  <c:v>1.8189014997915365E-2</c:v>
                </c:pt>
                <c:pt idx="7">
                  <c:v>2.0354332504211925E-2</c:v>
                </c:pt>
                <c:pt idx="9">
                  <c:v>1.492393000080483E-2</c:v>
                </c:pt>
                <c:pt idx="10">
                  <c:v>1.5638277494872455E-2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16-42A6-8BFA-1DB08F3124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4.0000000000000001E-3</c:v>
                  </c:pt>
                  <c:pt idx="2">
                    <c:v>2.8E-3</c:v>
                  </c:pt>
                  <c:pt idx="3">
                    <c:v>5.4000000000000003E-3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4.1000000000000003E-3</c:v>
                  </c:pt>
                  <c:pt idx="10">
                    <c:v>4.1000000000000003E-3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4.0000000000000001E-3</c:v>
                  </c:pt>
                  <c:pt idx="2">
                    <c:v>2.8E-3</c:v>
                  </c:pt>
                  <c:pt idx="3">
                    <c:v>5.4000000000000003E-3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4.1000000000000003E-3</c:v>
                  </c:pt>
                  <c:pt idx="10">
                    <c:v>4.1000000000000003E-3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27177</c:v>
                </c:pt>
                <c:pt idx="2">
                  <c:v>29341</c:v>
                </c:pt>
                <c:pt idx="3">
                  <c:v>29549</c:v>
                </c:pt>
                <c:pt idx="4">
                  <c:v>29993</c:v>
                </c:pt>
                <c:pt idx="5">
                  <c:v>32125</c:v>
                </c:pt>
                <c:pt idx="6">
                  <c:v>32125</c:v>
                </c:pt>
                <c:pt idx="7">
                  <c:v>32369.5</c:v>
                </c:pt>
                <c:pt idx="8">
                  <c:v>32798</c:v>
                </c:pt>
                <c:pt idx="9">
                  <c:v>35038</c:v>
                </c:pt>
                <c:pt idx="10">
                  <c:v>35556.5</c:v>
                </c:pt>
                <c:pt idx="11">
                  <c:v>38448.5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2">
                  <c:v>1.2080135005817283E-2</c:v>
                </c:pt>
                <c:pt idx="4">
                  <c:v>1.5313354997488204E-2</c:v>
                </c:pt>
                <c:pt idx="5">
                  <c:v>1.6950565899605863E-2</c:v>
                </c:pt>
                <c:pt idx="6">
                  <c:v>1.6974374993878882E-2</c:v>
                </c:pt>
                <c:pt idx="8">
                  <c:v>1.6297530004521832E-2</c:v>
                </c:pt>
                <c:pt idx="11">
                  <c:v>1.7577897502633277E-2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16-42A6-8BFA-1DB08F3124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4.0000000000000001E-3</c:v>
                  </c:pt>
                  <c:pt idx="2">
                    <c:v>2.8E-3</c:v>
                  </c:pt>
                  <c:pt idx="3">
                    <c:v>5.4000000000000003E-3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4.1000000000000003E-3</c:v>
                  </c:pt>
                  <c:pt idx="10">
                    <c:v>4.1000000000000003E-3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4.0000000000000001E-3</c:v>
                  </c:pt>
                  <c:pt idx="2">
                    <c:v>2.8E-3</c:v>
                  </c:pt>
                  <c:pt idx="3">
                    <c:v>5.4000000000000003E-3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4.1000000000000003E-3</c:v>
                  </c:pt>
                  <c:pt idx="10">
                    <c:v>4.1000000000000003E-3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27177</c:v>
                </c:pt>
                <c:pt idx="2">
                  <c:v>29341</c:v>
                </c:pt>
                <c:pt idx="3">
                  <c:v>29549</c:v>
                </c:pt>
                <c:pt idx="4">
                  <c:v>29993</c:v>
                </c:pt>
                <c:pt idx="5">
                  <c:v>32125</c:v>
                </c:pt>
                <c:pt idx="6">
                  <c:v>32125</c:v>
                </c:pt>
                <c:pt idx="7">
                  <c:v>32369.5</c:v>
                </c:pt>
                <c:pt idx="8">
                  <c:v>32798</c:v>
                </c:pt>
                <c:pt idx="9">
                  <c:v>35038</c:v>
                </c:pt>
                <c:pt idx="10">
                  <c:v>35556.5</c:v>
                </c:pt>
                <c:pt idx="11">
                  <c:v>38448.5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16-42A6-8BFA-1DB08F3124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4.0000000000000001E-3</c:v>
                  </c:pt>
                  <c:pt idx="2">
                    <c:v>2.8E-3</c:v>
                  </c:pt>
                  <c:pt idx="3">
                    <c:v>5.4000000000000003E-3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4.1000000000000003E-3</c:v>
                  </c:pt>
                  <c:pt idx="10">
                    <c:v>4.1000000000000003E-3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4.0000000000000001E-3</c:v>
                  </c:pt>
                  <c:pt idx="2">
                    <c:v>2.8E-3</c:v>
                  </c:pt>
                  <c:pt idx="3">
                    <c:v>5.4000000000000003E-3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4.1000000000000003E-3</c:v>
                  </c:pt>
                  <c:pt idx="10">
                    <c:v>4.1000000000000003E-3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27177</c:v>
                </c:pt>
                <c:pt idx="2">
                  <c:v>29341</c:v>
                </c:pt>
                <c:pt idx="3">
                  <c:v>29549</c:v>
                </c:pt>
                <c:pt idx="4">
                  <c:v>29993</c:v>
                </c:pt>
                <c:pt idx="5">
                  <c:v>32125</c:v>
                </c:pt>
                <c:pt idx="6">
                  <c:v>32125</c:v>
                </c:pt>
                <c:pt idx="7">
                  <c:v>32369.5</c:v>
                </c:pt>
                <c:pt idx="8">
                  <c:v>32798</c:v>
                </c:pt>
                <c:pt idx="9">
                  <c:v>35038</c:v>
                </c:pt>
                <c:pt idx="10">
                  <c:v>35556.5</c:v>
                </c:pt>
                <c:pt idx="11">
                  <c:v>38448.5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16-42A6-8BFA-1DB08F3124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4.0000000000000001E-3</c:v>
                  </c:pt>
                  <c:pt idx="2">
                    <c:v>2.8E-3</c:v>
                  </c:pt>
                  <c:pt idx="3">
                    <c:v>5.4000000000000003E-3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4.1000000000000003E-3</c:v>
                  </c:pt>
                  <c:pt idx="10">
                    <c:v>4.1000000000000003E-3</c:v>
                  </c:pt>
                  <c:pt idx="11">
                    <c:v>1.1000000000000001E-3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4.0000000000000001E-3</c:v>
                  </c:pt>
                  <c:pt idx="2">
                    <c:v>2.8E-3</c:v>
                  </c:pt>
                  <c:pt idx="3">
                    <c:v>5.4000000000000003E-3</c:v>
                  </c:pt>
                  <c:pt idx="4">
                    <c:v>0</c:v>
                  </c:pt>
                  <c:pt idx="5">
                    <c:v>4.0000000000000002E-4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4.1000000000000003E-3</c:v>
                  </c:pt>
                  <c:pt idx="10">
                    <c:v>4.1000000000000003E-3</c:v>
                  </c:pt>
                  <c:pt idx="1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27177</c:v>
                </c:pt>
                <c:pt idx="2">
                  <c:v>29341</c:v>
                </c:pt>
                <c:pt idx="3">
                  <c:v>29549</c:v>
                </c:pt>
                <c:pt idx="4">
                  <c:v>29993</c:v>
                </c:pt>
                <c:pt idx="5">
                  <c:v>32125</c:v>
                </c:pt>
                <c:pt idx="6">
                  <c:v>32125</c:v>
                </c:pt>
                <c:pt idx="7">
                  <c:v>32369.5</c:v>
                </c:pt>
                <c:pt idx="8">
                  <c:v>32798</c:v>
                </c:pt>
                <c:pt idx="9">
                  <c:v>35038</c:v>
                </c:pt>
                <c:pt idx="10">
                  <c:v>35556.5</c:v>
                </c:pt>
                <c:pt idx="11">
                  <c:v>38448.5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16-42A6-8BFA-1DB08F3124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27177</c:v>
                </c:pt>
                <c:pt idx="2">
                  <c:v>29341</c:v>
                </c:pt>
                <c:pt idx="3">
                  <c:v>29549</c:v>
                </c:pt>
                <c:pt idx="4">
                  <c:v>29993</c:v>
                </c:pt>
                <c:pt idx="5">
                  <c:v>32125</c:v>
                </c:pt>
                <c:pt idx="6">
                  <c:v>32125</c:v>
                </c:pt>
                <c:pt idx="7">
                  <c:v>32369.5</c:v>
                </c:pt>
                <c:pt idx="8">
                  <c:v>32798</c:v>
                </c:pt>
                <c:pt idx="9">
                  <c:v>35038</c:v>
                </c:pt>
                <c:pt idx="10">
                  <c:v>35556.5</c:v>
                </c:pt>
                <c:pt idx="11">
                  <c:v>38448.5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2.9488064891754082E-2</c:v>
                </c:pt>
                <c:pt idx="1">
                  <c:v>1.9239003017770345E-2</c:v>
                </c:pt>
                <c:pt idx="2">
                  <c:v>1.8422909633831693E-2</c:v>
                </c:pt>
                <c:pt idx="3">
                  <c:v>1.834446812557881E-2</c:v>
                </c:pt>
                <c:pt idx="4">
                  <c:v>1.817702567526977E-2</c:v>
                </c:pt>
                <c:pt idx="5">
                  <c:v>1.7373000215677711E-2</c:v>
                </c:pt>
                <c:pt idx="6">
                  <c:v>1.7373000215677711E-2</c:v>
                </c:pt>
                <c:pt idx="7">
                  <c:v>1.7280793731216992E-2</c:v>
                </c:pt>
                <c:pt idx="8">
                  <c:v>1.7119196681763336E-2</c:v>
                </c:pt>
                <c:pt idx="9">
                  <c:v>1.6274441977501511E-2</c:v>
                </c:pt>
                <c:pt idx="10">
                  <c:v>1.6078903890823053E-2</c:v>
                </c:pt>
                <c:pt idx="11">
                  <c:v>1.4988265227999304E-2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16-42A6-8BFA-1DB08F312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372424"/>
        <c:axId val="1"/>
      </c:scatterChart>
      <c:valAx>
        <c:axId val="892372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14464858559351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53594771241831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372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41864374796285"/>
          <c:y val="0.92000129214617399"/>
          <c:w val="0.6830075652308167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123824</xdr:colOff>
      <xdr:row>0</xdr:row>
      <xdr:rowOff>9525</xdr:rowOff>
    </xdr:from>
    <xdr:to>
      <xdr:col>17</xdr:col>
      <xdr:colOff>552449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4312EA2-4C59-6370-3105-07E02C95B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287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bav-astro.de/sfs/BAVM_link.php?BAVMnr=214" TargetMode="External"/><Relationship Id="rId5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konkoly.hu/cgi-bin/IBVS?56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59" t="s">
        <v>113</v>
      </c>
    </row>
    <row r="2" spans="1:6" x14ac:dyDescent="0.2">
      <c r="A2" t="s">
        <v>25</v>
      </c>
      <c r="B2" s="12" t="s">
        <v>36</v>
      </c>
    </row>
    <row r="4" spans="1:6" ht="14.25" thickTop="1" thickBot="1" x14ac:dyDescent="0.25">
      <c r="A4" s="6" t="s">
        <v>1</v>
      </c>
      <c r="C4" s="2">
        <v>32806.106500000002</v>
      </c>
      <c r="D4" s="3">
        <v>0.64419476499999995</v>
      </c>
    </row>
    <row r="5" spans="1:6" ht="13.5" thickTop="1" x14ac:dyDescent="0.2">
      <c r="A5" s="14" t="s">
        <v>37</v>
      </c>
      <c r="B5" s="9"/>
      <c r="C5" s="15">
        <v>-9.5</v>
      </c>
      <c r="D5" s="9" t="s">
        <v>38</v>
      </c>
    </row>
    <row r="6" spans="1:6" x14ac:dyDescent="0.2">
      <c r="A6" s="6" t="s">
        <v>2</v>
      </c>
    </row>
    <row r="7" spans="1:6" x14ac:dyDescent="0.2">
      <c r="A7" t="s">
        <v>3</v>
      </c>
      <c r="C7">
        <f>+C4</f>
        <v>32806.106500000002</v>
      </c>
    </row>
    <row r="8" spans="1:6" x14ac:dyDescent="0.2">
      <c r="A8" t="s">
        <v>4</v>
      </c>
      <c r="C8">
        <f>+D4</f>
        <v>0.64419476499999995</v>
      </c>
    </row>
    <row r="9" spans="1:6" x14ac:dyDescent="0.2">
      <c r="A9" s="29" t="s">
        <v>44</v>
      </c>
      <c r="B9" s="30">
        <v>22</v>
      </c>
      <c r="C9" s="27" t="str">
        <f>"F"&amp;B9</f>
        <v>F22</v>
      </c>
      <c r="D9" s="28" t="str">
        <f>"G"&amp;B9</f>
        <v>G22</v>
      </c>
    </row>
    <row r="10" spans="1:6" ht="13.5" thickBot="1" x14ac:dyDescent="0.25">
      <c r="A10" s="9"/>
      <c r="B10" s="9"/>
      <c r="C10" s="5" t="s">
        <v>21</v>
      </c>
      <c r="D10" s="5" t="s">
        <v>22</v>
      </c>
      <c r="E10" s="9"/>
    </row>
    <row r="11" spans="1:6" x14ac:dyDescent="0.2">
      <c r="A11" s="9" t="s">
        <v>17</v>
      </c>
      <c r="B11" s="9"/>
      <c r="C11" s="26">
        <f ca="1">INTERCEPT(INDIRECT($D$9):G991,INDIRECT($C$9):F991)</f>
        <v>2.9488064891754082E-2</v>
      </c>
      <c r="D11" s="4"/>
      <c r="E11" s="9"/>
    </row>
    <row r="12" spans="1:6" x14ac:dyDescent="0.2">
      <c r="A12" s="9" t="s">
        <v>18</v>
      </c>
      <c r="B12" s="9"/>
      <c r="C12" s="26">
        <f ca="1">SLOPE(INDIRECT($D$9):G991,INDIRECT($C$9):F991)</f>
        <v>-3.7712263583117099E-7</v>
      </c>
      <c r="D12" s="4"/>
      <c r="E12" s="9"/>
    </row>
    <row r="13" spans="1:6" x14ac:dyDescent="0.2">
      <c r="A13" s="9" t="s">
        <v>20</v>
      </c>
      <c r="B13" s="9"/>
      <c r="C13" s="4" t="s">
        <v>15</v>
      </c>
    </row>
    <row r="14" spans="1:6" x14ac:dyDescent="0.2">
      <c r="A14" s="9"/>
      <c r="B14" s="9"/>
      <c r="C14" s="9"/>
    </row>
    <row r="15" spans="1:6" x14ac:dyDescent="0.2">
      <c r="A15" s="16" t="s">
        <v>19</v>
      </c>
      <c r="B15" s="9"/>
      <c r="C15" s="17">
        <f ca="1">(C7+C11)+(C8+C12)*INT(MAX(F21:F3532))</f>
        <v>57574.121813173799</v>
      </c>
      <c r="E15" s="18" t="s">
        <v>47</v>
      </c>
      <c r="F15" s="15">
        <v>1</v>
      </c>
    </row>
    <row r="16" spans="1:6" x14ac:dyDescent="0.2">
      <c r="A16" s="20" t="s">
        <v>5</v>
      </c>
      <c r="B16" s="9"/>
      <c r="C16" s="21">
        <f ca="1">+C8+C12</f>
        <v>0.64419438787736416</v>
      </c>
      <c r="E16" s="18" t="s">
        <v>39</v>
      </c>
      <c r="F16" s="19">
        <f ca="1">NOW()+15018.5+$C$5/24</f>
        <v>60340.76628773148</v>
      </c>
    </row>
    <row r="17" spans="1:31" ht="13.5" thickBot="1" x14ac:dyDescent="0.25">
      <c r="A17" s="18" t="s">
        <v>33</v>
      </c>
      <c r="B17" s="9"/>
      <c r="C17" s="9">
        <f>COUNT(C21:C2190)</f>
        <v>12</v>
      </c>
      <c r="E17" s="18" t="s">
        <v>48</v>
      </c>
      <c r="F17" s="19">
        <f ca="1">ROUND(2*(F16-$C$7)/$C$8,0)/2+F15</f>
        <v>42744</v>
      </c>
    </row>
    <row r="18" spans="1:31" ht="14.25" thickTop="1" thickBot="1" x14ac:dyDescent="0.25">
      <c r="A18" s="20" t="s">
        <v>6</v>
      </c>
      <c r="B18" s="9"/>
      <c r="C18" s="23">
        <f ca="1">+C15</f>
        <v>57574.121813173799</v>
      </c>
      <c r="D18" s="24">
        <f ca="1">+C16</f>
        <v>0.64419438787736416</v>
      </c>
      <c r="E18" s="18" t="s">
        <v>40</v>
      </c>
      <c r="F18" s="28">
        <f ca="1">ROUND(2*(F16-$C$15)/$C$16,0)/2+F15</f>
        <v>4295.5</v>
      </c>
    </row>
    <row r="19" spans="1:31" ht="13.5" thickTop="1" x14ac:dyDescent="0.2">
      <c r="E19" s="18" t="s">
        <v>41</v>
      </c>
      <c r="F19" s="22">
        <f ca="1">+$C$15+$C$16*F18-15018.5-$C$5/24</f>
        <v>45323.154639634355</v>
      </c>
    </row>
    <row r="20" spans="1:31" ht="13.5" thickBot="1" x14ac:dyDescent="0.25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58</v>
      </c>
      <c r="I20" s="8" t="s">
        <v>61</v>
      </c>
      <c r="J20" s="8" t="s">
        <v>55</v>
      </c>
      <c r="K20" s="8" t="s">
        <v>46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16</v>
      </c>
    </row>
    <row r="21" spans="1:31" x14ac:dyDescent="0.2">
      <c r="A21" t="s">
        <v>13</v>
      </c>
      <c r="C21" s="13">
        <v>32806.106500000002</v>
      </c>
      <c r="D21" s="13" t="s">
        <v>15</v>
      </c>
      <c r="E21">
        <f t="shared" ref="E21:E31" si="0">+(C21-C$7)/C$8</f>
        <v>0</v>
      </c>
      <c r="F21">
        <f t="shared" ref="F21:F32" si="1">ROUND(2*E21,0)/2</f>
        <v>0</v>
      </c>
      <c r="G21">
        <f t="shared" ref="G21:G31" si="2">+C21-(C$7+F21*C$8)</f>
        <v>0</v>
      </c>
      <c r="H21" s="31">
        <f>G21</f>
        <v>0</v>
      </c>
      <c r="O21">
        <f t="shared" ref="O21:O31" ca="1" si="3">+C$11+C$12*F21</f>
        <v>2.9488064891754082E-2</v>
      </c>
      <c r="Q21" s="1">
        <f t="shared" ref="Q21:Q31" si="4">+C21-15018.5</f>
        <v>17787.606500000002</v>
      </c>
    </row>
    <row r="22" spans="1:31" x14ac:dyDescent="0.2">
      <c r="A22" t="s">
        <v>30</v>
      </c>
      <c r="C22" s="13">
        <v>50313.413999999997</v>
      </c>
      <c r="D22" s="13">
        <v>4.0000000000000001E-3</v>
      </c>
      <c r="E22">
        <f t="shared" si="0"/>
        <v>27177.040937301001</v>
      </c>
      <c r="F22">
        <f t="shared" si="1"/>
        <v>27177</v>
      </c>
      <c r="G22">
        <f t="shared" si="2"/>
        <v>2.6371594991360325E-2</v>
      </c>
      <c r="I22">
        <f>+G22</f>
        <v>2.6371594991360325E-2</v>
      </c>
      <c r="O22">
        <f t="shared" ca="1" si="3"/>
        <v>1.9239003017770345E-2</v>
      </c>
      <c r="Q22" s="1">
        <f t="shared" si="4"/>
        <v>35294.913999999997</v>
      </c>
      <c r="AA22">
        <v>10</v>
      </c>
      <c r="AC22" t="s">
        <v>29</v>
      </c>
      <c r="AE22" t="s">
        <v>31</v>
      </c>
    </row>
    <row r="23" spans="1:31" x14ac:dyDescent="0.2">
      <c r="A23" s="51" t="s">
        <v>45</v>
      </c>
      <c r="B23" s="52" t="s">
        <v>43</v>
      </c>
      <c r="C23" s="51">
        <v>51707.437180000001</v>
      </c>
      <c r="D23" s="51">
        <v>2.8E-3</v>
      </c>
      <c r="E23">
        <f t="shared" si="0"/>
        <v>29341.018752302341</v>
      </c>
      <c r="F23">
        <f t="shared" si="1"/>
        <v>29341</v>
      </c>
      <c r="G23">
        <f t="shared" si="2"/>
        <v>1.2080135005817283E-2</v>
      </c>
      <c r="K23">
        <f>+G23</f>
        <v>1.2080135005817283E-2</v>
      </c>
      <c r="O23">
        <f t="shared" ca="1" si="3"/>
        <v>1.8422909633831693E-2</v>
      </c>
      <c r="Q23" s="1">
        <f t="shared" si="4"/>
        <v>36688.937180000001</v>
      </c>
    </row>
    <row r="24" spans="1:31" x14ac:dyDescent="0.2">
      <c r="A24" s="53" t="s">
        <v>32</v>
      </c>
      <c r="B24" s="53"/>
      <c r="C24" s="54">
        <v>51841.435799999999</v>
      </c>
      <c r="D24" s="55">
        <v>5.4000000000000003E-3</v>
      </c>
      <c r="E24">
        <f t="shared" si="0"/>
        <v>29549.028235272912</v>
      </c>
      <c r="F24">
        <f t="shared" si="1"/>
        <v>29549</v>
      </c>
      <c r="G24">
        <f t="shared" si="2"/>
        <v>1.8189014997915365E-2</v>
      </c>
      <c r="J24">
        <f>+G24</f>
        <v>1.8189014997915365E-2</v>
      </c>
      <c r="O24">
        <f t="shared" ca="1" si="3"/>
        <v>1.834446812557881E-2</v>
      </c>
      <c r="Q24" s="1">
        <f t="shared" si="4"/>
        <v>36822.935799999999</v>
      </c>
    </row>
    <row r="25" spans="1:31" x14ac:dyDescent="0.2">
      <c r="A25" s="51" t="s">
        <v>45</v>
      </c>
      <c r="B25" s="52" t="s">
        <v>43</v>
      </c>
      <c r="C25" s="51">
        <v>52127.455399999999</v>
      </c>
      <c r="D25" s="51" t="s">
        <v>46</v>
      </c>
      <c r="E25">
        <f t="shared" si="0"/>
        <v>29993.02377131239</v>
      </c>
      <c r="F25">
        <f t="shared" si="1"/>
        <v>29993</v>
      </c>
      <c r="G25">
        <f t="shared" si="2"/>
        <v>1.5313354997488204E-2</v>
      </c>
      <c r="K25">
        <f>+G25</f>
        <v>1.5313354997488204E-2</v>
      </c>
      <c r="O25">
        <f t="shared" ca="1" si="3"/>
        <v>1.817702567526977E-2</v>
      </c>
      <c r="Q25" s="1">
        <f t="shared" si="4"/>
        <v>37108.955399999999</v>
      </c>
    </row>
    <row r="26" spans="1:31" x14ac:dyDescent="0.2">
      <c r="A26" s="6" t="s">
        <v>34</v>
      </c>
      <c r="C26" s="13">
        <v>53500.880276190903</v>
      </c>
      <c r="D26" s="32">
        <v>4.0000000000000002E-4</v>
      </c>
      <c r="E26">
        <f t="shared" si="0"/>
        <v>32125.026312796726</v>
      </c>
      <c r="F26">
        <f t="shared" si="1"/>
        <v>32125</v>
      </c>
      <c r="G26">
        <f t="shared" si="2"/>
        <v>1.6950565899605863E-2</v>
      </c>
      <c r="K26">
        <f>G26</f>
        <v>1.6950565899605863E-2</v>
      </c>
      <c r="O26">
        <f t="shared" ca="1" si="3"/>
        <v>1.7373000215677711E-2</v>
      </c>
      <c r="Q26" s="1">
        <f t="shared" si="4"/>
        <v>38482.380276190903</v>
      </c>
    </row>
    <row r="27" spans="1:31" x14ac:dyDescent="0.2">
      <c r="A27" s="48" t="s">
        <v>34</v>
      </c>
      <c r="B27" s="49" t="s">
        <v>43</v>
      </c>
      <c r="C27" s="50">
        <v>53500.880299999997</v>
      </c>
      <c r="D27" s="50" t="s">
        <v>61</v>
      </c>
      <c r="E27">
        <f t="shared" si="0"/>
        <v>32125.02634975619</v>
      </c>
      <c r="F27">
        <f t="shared" si="1"/>
        <v>32125</v>
      </c>
      <c r="G27">
        <f t="shared" si="2"/>
        <v>1.6974374993878882E-2</v>
      </c>
      <c r="K27">
        <f>+G27</f>
        <v>1.6974374993878882E-2</v>
      </c>
      <c r="O27">
        <f t="shared" ca="1" si="3"/>
        <v>1.7373000215677711E-2</v>
      </c>
      <c r="Q27" s="1">
        <f t="shared" si="4"/>
        <v>38482.380299999997</v>
      </c>
    </row>
    <row r="28" spans="1:31" x14ac:dyDescent="0.2">
      <c r="A28" s="9" t="s">
        <v>35</v>
      </c>
      <c r="B28" s="10"/>
      <c r="C28" s="13">
        <v>53658.389300000003</v>
      </c>
      <c r="D28" s="13">
        <v>1.4E-3</v>
      </c>
      <c r="E28">
        <f t="shared" si="0"/>
        <v>32369.531596550623</v>
      </c>
      <c r="F28">
        <f t="shared" si="1"/>
        <v>32369.5</v>
      </c>
      <c r="G28">
        <f t="shared" si="2"/>
        <v>2.0354332504211925E-2</v>
      </c>
      <c r="J28">
        <f>+G28</f>
        <v>2.0354332504211925E-2</v>
      </c>
      <c r="O28">
        <f t="shared" ca="1" si="3"/>
        <v>1.7280793731216992E-2</v>
      </c>
      <c r="Q28" s="1">
        <f t="shared" si="4"/>
        <v>38639.889300000003</v>
      </c>
    </row>
    <row r="29" spans="1:31" x14ac:dyDescent="0.2">
      <c r="A29" s="25" t="s">
        <v>42</v>
      </c>
      <c r="B29" s="4" t="s">
        <v>43</v>
      </c>
      <c r="C29" s="11">
        <v>53934.422700000003</v>
      </c>
      <c r="D29" s="11">
        <v>5.0000000000000001E-4</v>
      </c>
      <c r="E29">
        <f t="shared" si="0"/>
        <v>32798.025299072404</v>
      </c>
      <c r="F29">
        <f t="shared" si="1"/>
        <v>32798</v>
      </c>
      <c r="G29">
        <f t="shared" si="2"/>
        <v>1.6297530004521832E-2</v>
      </c>
      <c r="K29">
        <f>+G29</f>
        <v>1.6297530004521832E-2</v>
      </c>
      <c r="O29">
        <f t="shared" ca="1" si="3"/>
        <v>1.7119196681763336E-2</v>
      </c>
      <c r="Q29" s="1">
        <f t="shared" si="4"/>
        <v>38915.922700000003</v>
      </c>
    </row>
    <row r="30" spans="1:31" x14ac:dyDescent="0.2">
      <c r="A30" s="33" t="s">
        <v>49</v>
      </c>
      <c r="B30" s="34" t="s">
        <v>43</v>
      </c>
      <c r="C30" s="33">
        <v>55377.417600000001</v>
      </c>
      <c r="D30" s="33">
        <v>4.1000000000000003E-3</v>
      </c>
      <c r="E30">
        <f t="shared" si="0"/>
        <v>35038.023166798012</v>
      </c>
      <c r="F30">
        <f t="shared" si="1"/>
        <v>35038</v>
      </c>
      <c r="G30">
        <f t="shared" si="2"/>
        <v>1.492393000080483E-2</v>
      </c>
      <c r="J30">
        <f>+G30</f>
        <v>1.492393000080483E-2</v>
      </c>
      <c r="O30">
        <f t="shared" ca="1" si="3"/>
        <v>1.6274441977501511E-2</v>
      </c>
      <c r="Q30" s="1">
        <f t="shared" si="4"/>
        <v>40358.917600000001</v>
      </c>
    </row>
    <row r="31" spans="1:31" x14ac:dyDescent="0.2">
      <c r="A31" s="33" t="s">
        <v>50</v>
      </c>
      <c r="B31" s="34" t="s">
        <v>51</v>
      </c>
      <c r="C31" s="33">
        <v>55711.433299999997</v>
      </c>
      <c r="D31" s="33">
        <v>4.1000000000000003E-3</v>
      </c>
      <c r="E31">
        <f t="shared" si="0"/>
        <v>35556.524275697891</v>
      </c>
      <c r="F31">
        <f t="shared" si="1"/>
        <v>35556.5</v>
      </c>
      <c r="G31">
        <f t="shared" si="2"/>
        <v>1.5638277494872455E-2</v>
      </c>
      <c r="J31">
        <f>+G31</f>
        <v>1.5638277494872455E-2</v>
      </c>
      <c r="O31">
        <f t="shared" ca="1" si="3"/>
        <v>1.6078903890823053E-2</v>
      </c>
      <c r="Q31" s="1">
        <f t="shared" si="4"/>
        <v>40692.933299999997</v>
      </c>
    </row>
    <row r="32" spans="1:31" x14ac:dyDescent="0.2">
      <c r="A32" s="56" t="s">
        <v>0</v>
      </c>
      <c r="B32" s="57" t="s">
        <v>43</v>
      </c>
      <c r="C32" s="58">
        <v>57574.446499999998</v>
      </c>
      <c r="D32" s="58">
        <v>1.1000000000000001E-3</v>
      </c>
      <c r="E32">
        <f>+(C32-C$7)/C$8</f>
        <v>38448.527286619596</v>
      </c>
      <c r="F32">
        <f t="shared" si="1"/>
        <v>38448.5</v>
      </c>
      <c r="G32">
        <f>+C32-(C$7+F32*C$8)</f>
        <v>1.7577897502633277E-2</v>
      </c>
      <c r="K32">
        <f>+G32</f>
        <v>1.7577897502633277E-2</v>
      </c>
      <c r="O32">
        <f ca="1">+C$11+C$12*F32</f>
        <v>1.4988265227999304E-2</v>
      </c>
      <c r="Q32" s="1">
        <f>+C32-15018.5</f>
        <v>42555.946499999998</v>
      </c>
    </row>
    <row r="33" spans="3:4" x14ac:dyDescent="0.2">
      <c r="C33" s="13"/>
      <c r="D33" s="13"/>
    </row>
    <row r="34" spans="3:4" x14ac:dyDescent="0.2">
      <c r="D34" s="4"/>
    </row>
    <row r="35" spans="3:4" x14ac:dyDescent="0.2">
      <c r="D35" s="4"/>
    </row>
    <row r="36" spans="3:4" x14ac:dyDescent="0.2">
      <c r="D36" s="4"/>
    </row>
    <row r="37" spans="3:4" x14ac:dyDescent="0.2">
      <c r="D37" s="4"/>
    </row>
    <row r="38" spans="3:4" x14ac:dyDescent="0.2">
      <c r="D38" s="4"/>
    </row>
    <row r="39" spans="3:4" x14ac:dyDescent="0.2">
      <c r="D39" s="4"/>
    </row>
    <row r="40" spans="3:4" x14ac:dyDescent="0.2">
      <c r="D40" s="4"/>
    </row>
    <row r="41" spans="3:4" x14ac:dyDescent="0.2">
      <c r="D41" s="4"/>
    </row>
    <row r="42" spans="3:4" x14ac:dyDescent="0.2">
      <c r="D42" s="4"/>
    </row>
    <row r="43" spans="3:4" x14ac:dyDescent="0.2">
      <c r="D43" s="4"/>
    </row>
    <row r="44" spans="3:4" x14ac:dyDescent="0.2">
      <c r="D44" s="4"/>
    </row>
    <row r="45" spans="3:4" x14ac:dyDescent="0.2">
      <c r="D45" s="4"/>
    </row>
  </sheetData>
  <phoneticPr fontId="7" type="noConversion"/>
  <hyperlinks>
    <hyperlink ref="H969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7"/>
  <sheetViews>
    <sheetView workbookViewId="0">
      <selection activeCell="A19" sqref="A19:D19"/>
    </sheetView>
  </sheetViews>
  <sheetFormatPr defaultRowHeight="12.75" x14ac:dyDescent="0.2"/>
  <cols>
    <col min="1" max="1" width="19.7109375" style="11" customWidth="1"/>
    <col min="2" max="2" width="4.42578125" style="9" customWidth="1"/>
    <col min="3" max="3" width="12.7109375" style="11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11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35" t="s">
        <v>52</v>
      </c>
      <c r="I1" s="36" t="s">
        <v>53</v>
      </c>
      <c r="J1" s="37" t="s">
        <v>46</v>
      </c>
    </row>
    <row r="2" spans="1:16" x14ac:dyDescent="0.2">
      <c r="I2" s="38" t="s">
        <v>54</v>
      </c>
      <c r="J2" s="39" t="s">
        <v>55</v>
      </c>
    </row>
    <row r="3" spans="1:16" x14ac:dyDescent="0.2">
      <c r="A3" s="40" t="s">
        <v>56</v>
      </c>
      <c r="I3" s="38" t="s">
        <v>57</v>
      </c>
      <c r="J3" s="39" t="s">
        <v>58</v>
      </c>
    </row>
    <row r="4" spans="1:16" x14ac:dyDescent="0.2">
      <c r="I4" s="38" t="s">
        <v>59</v>
      </c>
      <c r="J4" s="39" t="s">
        <v>58</v>
      </c>
    </row>
    <row r="5" spans="1:16" ht="13.5" thickBot="1" x14ac:dyDescent="0.25">
      <c r="I5" s="41" t="s">
        <v>60</v>
      </c>
      <c r="J5" s="42" t="s">
        <v>61</v>
      </c>
    </row>
    <row r="10" spans="1:16" ht="13.5" thickBot="1" x14ac:dyDescent="0.25"/>
    <row r="11" spans="1:16" ht="12.75" customHeight="1" thickBot="1" x14ac:dyDescent="0.25">
      <c r="A11" s="11" t="str">
        <f t="shared" ref="A11:A19" si="0">P11</f>
        <v> BBS 113 </v>
      </c>
      <c r="B11" s="4" t="str">
        <f t="shared" ref="B11:B19" si="1">IF(H11=INT(H11),"I","II")</f>
        <v>I</v>
      </c>
      <c r="C11" s="11">
        <f t="shared" ref="C11:C19" si="2">1*G11</f>
        <v>50313.413999999997</v>
      </c>
      <c r="D11" s="9" t="str">
        <f t="shared" ref="D11:D19" si="3">VLOOKUP(F11,I$1:J$5,2,FALSE)</f>
        <v>vis</v>
      </c>
      <c r="E11" s="43">
        <f>VLOOKUP(C11,Active!C$21:E$973,3,FALSE)</f>
        <v>27177.040937301001</v>
      </c>
      <c r="F11" s="4" t="s">
        <v>60</v>
      </c>
      <c r="G11" s="9" t="str">
        <f t="shared" ref="G11:G19" si="4">MID(I11,3,LEN(I11)-3)</f>
        <v>50313.414</v>
      </c>
      <c r="H11" s="11">
        <f t="shared" ref="H11:H19" si="5">1*K11</f>
        <v>27177</v>
      </c>
      <c r="I11" s="44" t="s">
        <v>62</v>
      </c>
      <c r="J11" s="45" t="s">
        <v>63</v>
      </c>
      <c r="K11" s="44">
        <v>27177</v>
      </c>
      <c r="L11" s="44" t="s">
        <v>64</v>
      </c>
      <c r="M11" s="45" t="s">
        <v>65</v>
      </c>
      <c r="N11" s="45" t="s">
        <v>66</v>
      </c>
      <c r="O11" s="46" t="s">
        <v>67</v>
      </c>
      <c r="P11" s="46" t="s">
        <v>68</v>
      </c>
    </row>
    <row r="12" spans="1:16" ht="12.75" customHeight="1" thickBot="1" x14ac:dyDescent="0.25">
      <c r="A12" s="11" t="str">
        <f t="shared" si="0"/>
        <v>OEJV 0074 </v>
      </c>
      <c r="B12" s="4" t="str">
        <f t="shared" si="1"/>
        <v>I</v>
      </c>
      <c r="C12" s="11">
        <f t="shared" si="2"/>
        <v>51707.437180000001</v>
      </c>
      <c r="D12" s="9" t="str">
        <f t="shared" si="3"/>
        <v>vis</v>
      </c>
      <c r="E12" s="43">
        <f>VLOOKUP(C12,Active!C$21:E$973,3,FALSE)</f>
        <v>29341.018752302341</v>
      </c>
      <c r="F12" s="4" t="s">
        <v>60</v>
      </c>
      <c r="G12" s="9" t="str">
        <f t="shared" si="4"/>
        <v>51707.43718</v>
      </c>
      <c r="H12" s="11">
        <f t="shared" si="5"/>
        <v>29341</v>
      </c>
      <c r="I12" s="44" t="s">
        <v>69</v>
      </c>
      <c r="J12" s="45" t="s">
        <v>70</v>
      </c>
      <c r="K12" s="44">
        <v>29341</v>
      </c>
      <c r="L12" s="44" t="s">
        <v>71</v>
      </c>
      <c r="M12" s="45" t="s">
        <v>72</v>
      </c>
      <c r="N12" s="45" t="s">
        <v>73</v>
      </c>
      <c r="O12" s="46" t="s">
        <v>74</v>
      </c>
      <c r="P12" s="47" t="s">
        <v>75</v>
      </c>
    </row>
    <row r="13" spans="1:16" ht="12.75" customHeight="1" thickBot="1" x14ac:dyDescent="0.25">
      <c r="A13" s="11" t="str">
        <f t="shared" si="0"/>
        <v>IBVS 5287 </v>
      </c>
      <c r="B13" s="4" t="str">
        <f t="shared" si="1"/>
        <v>I</v>
      </c>
      <c r="C13" s="11">
        <f t="shared" si="2"/>
        <v>51841.435799999999</v>
      </c>
      <c r="D13" s="9" t="str">
        <f t="shared" si="3"/>
        <v>vis</v>
      </c>
      <c r="E13" s="43">
        <f>VLOOKUP(C13,Active!C$21:E$973,3,FALSE)</f>
        <v>29549.028235272912</v>
      </c>
      <c r="F13" s="4" t="s">
        <v>60</v>
      </c>
      <c r="G13" s="9" t="str">
        <f t="shared" si="4"/>
        <v>51841.4358</v>
      </c>
      <c r="H13" s="11">
        <f t="shared" si="5"/>
        <v>29549</v>
      </c>
      <c r="I13" s="44" t="s">
        <v>76</v>
      </c>
      <c r="J13" s="45" t="s">
        <v>77</v>
      </c>
      <c r="K13" s="44">
        <v>29549</v>
      </c>
      <c r="L13" s="44" t="s">
        <v>78</v>
      </c>
      <c r="M13" s="45" t="s">
        <v>65</v>
      </c>
      <c r="N13" s="45" t="s">
        <v>66</v>
      </c>
      <c r="O13" s="46" t="s">
        <v>79</v>
      </c>
      <c r="P13" s="47" t="s">
        <v>80</v>
      </c>
    </row>
    <row r="14" spans="1:16" ht="12.75" customHeight="1" thickBot="1" x14ac:dyDescent="0.25">
      <c r="A14" s="11" t="str">
        <f t="shared" si="0"/>
        <v>OEJV 0074 </v>
      </c>
      <c r="B14" s="4" t="str">
        <f t="shared" si="1"/>
        <v>I</v>
      </c>
      <c r="C14" s="11">
        <f t="shared" si="2"/>
        <v>52127.455399999999</v>
      </c>
      <c r="D14" s="9" t="str">
        <f t="shared" si="3"/>
        <v>vis</v>
      </c>
      <c r="E14" s="43">
        <f>VLOOKUP(C14,Active!C$21:E$973,3,FALSE)</f>
        <v>29993.02377131239</v>
      </c>
      <c r="F14" s="4" t="s">
        <v>60</v>
      </c>
      <c r="G14" s="9" t="str">
        <f t="shared" si="4"/>
        <v>52127.45540</v>
      </c>
      <c r="H14" s="11">
        <f t="shared" si="5"/>
        <v>29993</v>
      </c>
      <c r="I14" s="44" t="s">
        <v>81</v>
      </c>
      <c r="J14" s="45" t="s">
        <v>82</v>
      </c>
      <c r="K14" s="44">
        <v>29993</v>
      </c>
      <c r="L14" s="44" t="s">
        <v>83</v>
      </c>
      <c r="M14" s="45" t="s">
        <v>72</v>
      </c>
      <c r="N14" s="45" t="s">
        <v>73</v>
      </c>
      <c r="O14" s="46" t="s">
        <v>84</v>
      </c>
      <c r="P14" s="47" t="s">
        <v>75</v>
      </c>
    </row>
    <row r="15" spans="1:16" ht="12.75" customHeight="1" thickBot="1" x14ac:dyDescent="0.25">
      <c r="A15" s="11" t="str">
        <f t="shared" si="0"/>
        <v>BAVM 178 </v>
      </c>
      <c r="B15" s="4" t="str">
        <f t="shared" si="1"/>
        <v>II</v>
      </c>
      <c r="C15" s="11">
        <f t="shared" si="2"/>
        <v>53658.389300000003</v>
      </c>
      <c r="D15" s="9" t="str">
        <f t="shared" si="3"/>
        <v>vis</v>
      </c>
      <c r="E15" s="43">
        <f>VLOOKUP(C15,Active!C$21:E$973,3,FALSE)</f>
        <v>32369.531596550623</v>
      </c>
      <c r="F15" s="4" t="s">
        <v>60</v>
      </c>
      <c r="G15" s="9" t="str">
        <f t="shared" si="4"/>
        <v>53658.3893</v>
      </c>
      <c r="H15" s="11">
        <f t="shared" si="5"/>
        <v>32369.5</v>
      </c>
      <c r="I15" s="44" t="s">
        <v>90</v>
      </c>
      <c r="J15" s="45" t="s">
        <v>91</v>
      </c>
      <c r="K15" s="44">
        <v>32369.5</v>
      </c>
      <c r="L15" s="44" t="s">
        <v>92</v>
      </c>
      <c r="M15" s="45" t="s">
        <v>72</v>
      </c>
      <c r="N15" s="45" t="s">
        <v>93</v>
      </c>
      <c r="O15" s="46" t="s">
        <v>94</v>
      </c>
      <c r="P15" s="47" t="s">
        <v>95</v>
      </c>
    </row>
    <row r="16" spans="1:16" ht="12.75" customHeight="1" thickBot="1" x14ac:dyDescent="0.25">
      <c r="A16" s="11" t="str">
        <f t="shared" si="0"/>
        <v> BBS 133 (=IBVS 5781) </v>
      </c>
      <c r="B16" s="4" t="str">
        <f t="shared" si="1"/>
        <v>I</v>
      </c>
      <c r="C16" s="11">
        <f t="shared" si="2"/>
        <v>53934.422700000003</v>
      </c>
      <c r="D16" s="9" t="str">
        <f t="shared" si="3"/>
        <v>vis</v>
      </c>
      <c r="E16" s="43">
        <f>VLOOKUP(C16,Active!C$21:E$973,3,FALSE)</f>
        <v>32798.025299072404</v>
      </c>
      <c r="F16" s="4" t="s">
        <v>60</v>
      </c>
      <c r="G16" s="9" t="str">
        <f t="shared" si="4"/>
        <v>53934.4227</v>
      </c>
      <c r="H16" s="11">
        <f t="shared" si="5"/>
        <v>32798</v>
      </c>
      <c r="I16" s="44" t="s">
        <v>96</v>
      </c>
      <c r="J16" s="45" t="s">
        <v>97</v>
      </c>
      <c r="K16" s="44" t="s">
        <v>98</v>
      </c>
      <c r="L16" s="44" t="s">
        <v>99</v>
      </c>
      <c r="M16" s="45" t="s">
        <v>72</v>
      </c>
      <c r="N16" s="45" t="s">
        <v>60</v>
      </c>
      <c r="O16" s="46" t="s">
        <v>100</v>
      </c>
      <c r="P16" s="46" t="s">
        <v>101</v>
      </c>
    </row>
    <row r="17" spans="1:16" ht="12.75" customHeight="1" thickBot="1" x14ac:dyDescent="0.25">
      <c r="A17" s="11" t="str">
        <f t="shared" si="0"/>
        <v>BAVM 214 </v>
      </c>
      <c r="B17" s="4" t="str">
        <f t="shared" si="1"/>
        <v>I</v>
      </c>
      <c r="C17" s="11">
        <f t="shared" si="2"/>
        <v>55377.417600000001</v>
      </c>
      <c r="D17" s="9" t="str">
        <f t="shared" si="3"/>
        <v>vis</v>
      </c>
      <c r="E17" s="43">
        <f>VLOOKUP(C17,Active!C$21:E$973,3,FALSE)</f>
        <v>35038.023166798012</v>
      </c>
      <c r="F17" s="4" t="s">
        <v>60</v>
      </c>
      <c r="G17" s="9" t="str">
        <f t="shared" si="4"/>
        <v>55377.4176</v>
      </c>
      <c r="H17" s="11">
        <f t="shared" si="5"/>
        <v>35038</v>
      </c>
      <c r="I17" s="44" t="s">
        <v>102</v>
      </c>
      <c r="J17" s="45" t="s">
        <v>103</v>
      </c>
      <c r="K17" s="44" t="s">
        <v>104</v>
      </c>
      <c r="L17" s="44" t="s">
        <v>105</v>
      </c>
      <c r="M17" s="45" t="s">
        <v>72</v>
      </c>
      <c r="N17" s="45" t="s">
        <v>93</v>
      </c>
      <c r="O17" s="46" t="s">
        <v>106</v>
      </c>
      <c r="P17" s="47" t="s">
        <v>107</v>
      </c>
    </row>
    <row r="18" spans="1:16" ht="12.75" customHeight="1" thickBot="1" x14ac:dyDescent="0.25">
      <c r="A18" s="11" t="str">
        <f t="shared" si="0"/>
        <v>BAVM 220 </v>
      </c>
      <c r="B18" s="4" t="str">
        <f t="shared" si="1"/>
        <v>II</v>
      </c>
      <c r="C18" s="11">
        <f t="shared" si="2"/>
        <v>55711.433299999997</v>
      </c>
      <c r="D18" s="9" t="str">
        <f t="shared" si="3"/>
        <v>vis</v>
      </c>
      <c r="E18" s="43">
        <f>VLOOKUP(C18,Active!C$21:E$973,3,FALSE)</f>
        <v>35556.524275697891</v>
      </c>
      <c r="F18" s="4" t="s">
        <v>60</v>
      </c>
      <c r="G18" s="9" t="str">
        <f t="shared" si="4"/>
        <v>55711.4333</v>
      </c>
      <c r="H18" s="11">
        <f t="shared" si="5"/>
        <v>35556.5</v>
      </c>
      <c r="I18" s="44" t="s">
        <v>108</v>
      </c>
      <c r="J18" s="45" t="s">
        <v>109</v>
      </c>
      <c r="K18" s="44" t="s">
        <v>110</v>
      </c>
      <c r="L18" s="44" t="s">
        <v>111</v>
      </c>
      <c r="M18" s="45" t="s">
        <v>72</v>
      </c>
      <c r="N18" s="45" t="s">
        <v>93</v>
      </c>
      <c r="O18" s="46" t="s">
        <v>106</v>
      </c>
      <c r="P18" s="47" t="s">
        <v>112</v>
      </c>
    </row>
    <row r="19" spans="1:16" ht="12.75" customHeight="1" thickBot="1" x14ac:dyDescent="0.25">
      <c r="A19" s="11" t="str">
        <f t="shared" si="0"/>
        <v>IBVS 5672 </v>
      </c>
      <c r="B19" s="4" t="str">
        <f t="shared" si="1"/>
        <v>I</v>
      </c>
      <c r="C19" s="11">
        <f t="shared" si="2"/>
        <v>53500.880299999997</v>
      </c>
      <c r="D19" s="9" t="str">
        <f t="shared" si="3"/>
        <v>vis</v>
      </c>
      <c r="E19" s="43">
        <f>VLOOKUP(C19,Active!C$21:E$973,3,FALSE)</f>
        <v>32125.02634975619</v>
      </c>
      <c r="F19" s="4" t="s">
        <v>60</v>
      </c>
      <c r="G19" s="9" t="str">
        <f t="shared" si="4"/>
        <v>53500.8803</v>
      </c>
      <c r="H19" s="11">
        <f t="shared" si="5"/>
        <v>32125</v>
      </c>
      <c r="I19" s="44" t="s">
        <v>85</v>
      </c>
      <c r="J19" s="45" t="s">
        <v>86</v>
      </c>
      <c r="K19" s="44">
        <v>32125</v>
      </c>
      <c r="L19" s="44" t="s">
        <v>87</v>
      </c>
      <c r="M19" s="45" t="s">
        <v>65</v>
      </c>
      <c r="N19" s="45" t="s">
        <v>66</v>
      </c>
      <c r="O19" s="46" t="s">
        <v>88</v>
      </c>
      <c r="P19" s="47" t="s">
        <v>89</v>
      </c>
    </row>
    <row r="20" spans="1:16" x14ac:dyDescent="0.2">
      <c r="B20" s="4"/>
      <c r="F20" s="4"/>
    </row>
    <row r="21" spans="1:16" x14ac:dyDescent="0.2">
      <c r="B21" s="4"/>
      <c r="F21" s="4"/>
    </row>
    <row r="22" spans="1:16" x14ac:dyDescent="0.2">
      <c r="B22" s="4"/>
      <c r="F22" s="4"/>
    </row>
    <row r="23" spans="1:16" x14ac:dyDescent="0.2">
      <c r="B23" s="4"/>
      <c r="F23" s="4"/>
    </row>
    <row r="24" spans="1:16" x14ac:dyDescent="0.2">
      <c r="B24" s="4"/>
      <c r="F24" s="4"/>
    </row>
    <row r="25" spans="1:16" x14ac:dyDescent="0.2">
      <c r="B25" s="4"/>
      <c r="F25" s="4"/>
    </row>
    <row r="26" spans="1:16" x14ac:dyDescent="0.2">
      <c r="B26" s="4"/>
      <c r="F26" s="4"/>
    </row>
    <row r="27" spans="1:16" x14ac:dyDescent="0.2">
      <c r="B27" s="4"/>
      <c r="F27" s="4"/>
    </row>
    <row r="28" spans="1:16" x14ac:dyDescent="0.2">
      <c r="B28" s="4"/>
      <c r="F28" s="4"/>
    </row>
    <row r="29" spans="1:16" x14ac:dyDescent="0.2">
      <c r="B29" s="4"/>
      <c r="F29" s="4"/>
    </row>
    <row r="30" spans="1:16" x14ac:dyDescent="0.2">
      <c r="B30" s="4"/>
      <c r="F30" s="4"/>
    </row>
    <row r="31" spans="1:16" x14ac:dyDescent="0.2">
      <c r="B31" s="4"/>
      <c r="F31" s="4"/>
    </row>
    <row r="32" spans="1:16" x14ac:dyDescent="0.2">
      <c r="B32" s="4"/>
      <c r="F32" s="4"/>
    </row>
    <row r="33" spans="2:6" x14ac:dyDescent="0.2">
      <c r="B33" s="4"/>
      <c r="F33" s="4"/>
    </row>
    <row r="34" spans="2:6" x14ac:dyDescent="0.2">
      <c r="B34" s="4"/>
      <c r="F34" s="4"/>
    </row>
    <row r="35" spans="2:6" x14ac:dyDescent="0.2">
      <c r="B35" s="4"/>
      <c r="F35" s="4"/>
    </row>
    <row r="36" spans="2:6" x14ac:dyDescent="0.2">
      <c r="B36" s="4"/>
      <c r="F36" s="4"/>
    </row>
    <row r="37" spans="2:6" x14ac:dyDescent="0.2">
      <c r="B37" s="4"/>
      <c r="F37" s="4"/>
    </row>
    <row r="38" spans="2:6" x14ac:dyDescent="0.2">
      <c r="B38" s="4"/>
      <c r="F38" s="4"/>
    </row>
    <row r="39" spans="2:6" x14ac:dyDescent="0.2">
      <c r="B39" s="4"/>
      <c r="F39" s="4"/>
    </row>
    <row r="40" spans="2:6" x14ac:dyDescent="0.2">
      <c r="B40" s="4"/>
      <c r="F40" s="4"/>
    </row>
    <row r="41" spans="2:6" x14ac:dyDescent="0.2">
      <c r="B41" s="4"/>
      <c r="F41" s="4"/>
    </row>
    <row r="42" spans="2:6" x14ac:dyDescent="0.2">
      <c r="B42" s="4"/>
      <c r="F42" s="4"/>
    </row>
    <row r="43" spans="2:6" x14ac:dyDescent="0.2">
      <c r="B43" s="4"/>
      <c r="F43" s="4"/>
    </row>
    <row r="44" spans="2:6" x14ac:dyDescent="0.2">
      <c r="B44" s="4"/>
      <c r="F44" s="4"/>
    </row>
    <row r="45" spans="2:6" x14ac:dyDescent="0.2">
      <c r="B45" s="4"/>
      <c r="F45" s="4"/>
    </row>
    <row r="46" spans="2:6" x14ac:dyDescent="0.2">
      <c r="B46" s="4"/>
      <c r="F46" s="4"/>
    </row>
    <row r="47" spans="2:6" x14ac:dyDescent="0.2">
      <c r="B47" s="4"/>
      <c r="F47" s="4"/>
    </row>
    <row r="48" spans="2:6" x14ac:dyDescent="0.2">
      <c r="B48" s="4"/>
      <c r="F48" s="4"/>
    </row>
    <row r="49" spans="2:6" x14ac:dyDescent="0.2">
      <c r="B49" s="4"/>
      <c r="F49" s="4"/>
    </row>
    <row r="50" spans="2:6" x14ac:dyDescent="0.2">
      <c r="B50" s="4"/>
      <c r="F50" s="4"/>
    </row>
    <row r="51" spans="2:6" x14ac:dyDescent="0.2">
      <c r="B51" s="4"/>
      <c r="F51" s="4"/>
    </row>
    <row r="52" spans="2:6" x14ac:dyDescent="0.2">
      <c r="B52" s="4"/>
      <c r="F52" s="4"/>
    </row>
    <row r="53" spans="2:6" x14ac:dyDescent="0.2">
      <c r="B53" s="4"/>
      <c r="F53" s="4"/>
    </row>
    <row r="54" spans="2:6" x14ac:dyDescent="0.2">
      <c r="B54" s="4"/>
      <c r="F54" s="4"/>
    </row>
    <row r="55" spans="2:6" x14ac:dyDescent="0.2">
      <c r="B55" s="4"/>
      <c r="F55" s="4"/>
    </row>
    <row r="56" spans="2:6" x14ac:dyDescent="0.2">
      <c r="B56" s="4"/>
      <c r="F56" s="4"/>
    </row>
    <row r="57" spans="2:6" x14ac:dyDescent="0.2">
      <c r="B57" s="4"/>
      <c r="F57" s="4"/>
    </row>
    <row r="58" spans="2:6" x14ac:dyDescent="0.2">
      <c r="B58" s="4"/>
      <c r="F58" s="4"/>
    </row>
    <row r="59" spans="2:6" x14ac:dyDescent="0.2">
      <c r="B59" s="4"/>
      <c r="F59" s="4"/>
    </row>
    <row r="60" spans="2:6" x14ac:dyDescent="0.2">
      <c r="B60" s="4"/>
      <c r="F60" s="4"/>
    </row>
    <row r="61" spans="2:6" x14ac:dyDescent="0.2">
      <c r="B61" s="4"/>
      <c r="F61" s="4"/>
    </row>
    <row r="62" spans="2:6" x14ac:dyDescent="0.2">
      <c r="B62" s="4"/>
      <c r="F62" s="4"/>
    </row>
    <row r="63" spans="2:6" x14ac:dyDescent="0.2">
      <c r="B63" s="4"/>
      <c r="F63" s="4"/>
    </row>
    <row r="64" spans="2:6" x14ac:dyDescent="0.2">
      <c r="B64" s="4"/>
      <c r="F64" s="4"/>
    </row>
    <row r="65" spans="2:6" x14ac:dyDescent="0.2">
      <c r="B65" s="4"/>
      <c r="F65" s="4"/>
    </row>
    <row r="66" spans="2:6" x14ac:dyDescent="0.2">
      <c r="B66" s="4"/>
      <c r="F66" s="4"/>
    </row>
    <row r="67" spans="2:6" x14ac:dyDescent="0.2">
      <c r="B67" s="4"/>
      <c r="F67" s="4"/>
    </row>
    <row r="68" spans="2:6" x14ac:dyDescent="0.2">
      <c r="B68" s="4"/>
      <c r="F68" s="4"/>
    </row>
    <row r="69" spans="2:6" x14ac:dyDescent="0.2">
      <c r="B69" s="4"/>
      <c r="F69" s="4"/>
    </row>
    <row r="70" spans="2:6" x14ac:dyDescent="0.2">
      <c r="B70" s="4"/>
      <c r="F70" s="4"/>
    </row>
    <row r="71" spans="2:6" x14ac:dyDescent="0.2">
      <c r="B71" s="4"/>
      <c r="F71" s="4"/>
    </row>
    <row r="72" spans="2:6" x14ac:dyDescent="0.2">
      <c r="B72" s="4"/>
      <c r="F72" s="4"/>
    </row>
    <row r="73" spans="2:6" x14ac:dyDescent="0.2">
      <c r="B73" s="4"/>
      <c r="F73" s="4"/>
    </row>
    <row r="74" spans="2:6" x14ac:dyDescent="0.2">
      <c r="B74" s="4"/>
      <c r="F74" s="4"/>
    </row>
    <row r="75" spans="2:6" x14ac:dyDescent="0.2">
      <c r="B75" s="4"/>
      <c r="F75" s="4"/>
    </row>
    <row r="76" spans="2:6" x14ac:dyDescent="0.2">
      <c r="B76" s="4"/>
      <c r="F76" s="4"/>
    </row>
    <row r="77" spans="2:6" x14ac:dyDescent="0.2">
      <c r="B77" s="4"/>
      <c r="F77" s="4"/>
    </row>
    <row r="78" spans="2:6" x14ac:dyDescent="0.2">
      <c r="B78" s="4"/>
      <c r="F78" s="4"/>
    </row>
    <row r="79" spans="2:6" x14ac:dyDescent="0.2">
      <c r="B79" s="4"/>
      <c r="F79" s="4"/>
    </row>
    <row r="80" spans="2: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</sheetData>
  <phoneticPr fontId="7" type="noConversion"/>
  <hyperlinks>
    <hyperlink ref="P12" r:id="rId1" display="http://var.astro.cz/oejv/issues/oejv0074.pdf"/>
    <hyperlink ref="P13" r:id="rId2" display="http://www.konkoly.hu/cgi-bin/IBVS?5287"/>
    <hyperlink ref="P14" r:id="rId3" display="http://var.astro.cz/oejv/issues/oejv0074.pdf"/>
    <hyperlink ref="P19" r:id="rId4" display="http://www.konkoly.hu/cgi-bin/IBVS?5672"/>
    <hyperlink ref="P15" r:id="rId5" display="http://www.bav-astro.de/sfs/BAVM_link.php?BAVMnr=178"/>
    <hyperlink ref="P17" r:id="rId6" display="http://www.bav-astro.de/sfs/BAVM_link.php?BAVMnr=214"/>
    <hyperlink ref="P18" r:id="rId7" display="http://www.bav-astro.de/sfs/BAVM_link.php?BAVMnr=22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2024-01-31T05:23:27Z</dcterms:modified>
</cp:coreProperties>
</file>