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5B7F24C-BC14-48EB-BC1D-F6ACA91A1F8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5" i="1"/>
  <c r="F25" i="1"/>
  <c r="C8" i="1"/>
  <c r="E31" i="1"/>
  <c r="F31" i="1"/>
  <c r="C21" i="1"/>
  <c r="E21" i="1"/>
  <c r="F21" i="1"/>
  <c r="G21" i="1"/>
  <c r="H21" i="1"/>
  <c r="E28" i="1"/>
  <c r="F28" i="1"/>
  <c r="E37" i="1"/>
  <c r="F37" i="1"/>
  <c r="G37" i="1"/>
  <c r="J37" i="1"/>
  <c r="E33" i="1"/>
  <c r="F33" i="1"/>
  <c r="E35" i="1"/>
  <c r="F35" i="1"/>
  <c r="G35" i="1"/>
  <c r="K35" i="1"/>
  <c r="D9" i="1"/>
  <c r="C9" i="1"/>
  <c r="Q32" i="1"/>
  <c r="Q31" i="1"/>
  <c r="G19" i="2"/>
  <c r="C19" i="2"/>
  <c r="G18" i="2"/>
  <c r="C18" i="2"/>
  <c r="E18" i="2"/>
  <c r="G17" i="2"/>
  <c r="C17" i="2"/>
  <c r="G27" i="2"/>
  <c r="C27" i="2"/>
  <c r="E27" i="2"/>
  <c r="G26" i="2"/>
  <c r="C26" i="2"/>
  <c r="E26" i="2"/>
  <c r="G25" i="2"/>
  <c r="C25" i="2"/>
  <c r="E25" i="2"/>
  <c r="G24" i="2"/>
  <c r="C24" i="2"/>
  <c r="G23" i="2"/>
  <c r="C23" i="2"/>
  <c r="E23" i="2"/>
  <c r="G22" i="2"/>
  <c r="C22" i="2"/>
  <c r="E22" i="2"/>
  <c r="G21" i="2"/>
  <c r="C21" i="2"/>
  <c r="E21" i="2"/>
  <c r="G20" i="2"/>
  <c r="C20" i="2"/>
  <c r="E20" i="2"/>
  <c r="G16" i="2"/>
  <c r="C16" i="2"/>
  <c r="G15" i="2"/>
  <c r="C15" i="2"/>
  <c r="G14" i="2"/>
  <c r="C14" i="2"/>
  <c r="E14" i="2"/>
  <c r="G13" i="2"/>
  <c r="C13" i="2"/>
  <c r="G12" i="2"/>
  <c r="C12" i="2"/>
  <c r="G11" i="2"/>
  <c r="C11" i="2"/>
  <c r="H19" i="2"/>
  <c r="B19" i="2"/>
  <c r="D19" i="2"/>
  <c r="A19" i="2"/>
  <c r="H18" i="2"/>
  <c r="B18" i="2"/>
  <c r="D18" i="2"/>
  <c r="A18" i="2"/>
  <c r="H17" i="2"/>
  <c r="B17" i="2"/>
  <c r="D17" i="2"/>
  <c r="A17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36" i="1"/>
  <c r="Q38" i="1"/>
  <c r="Q37" i="1"/>
  <c r="Q33" i="1"/>
  <c r="Q34" i="1"/>
  <c r="Q35" i="1"/>
  <c r="F16" i="1"/>
  <c r="F17" i="1" s="1"/>
  <c r="C17" i="1"/>
  <c r="Q29" i="1"/>
  <c r="Q30" i="1"/>
  <c r="Q28" i="1"/>
  <c r="Q23" i="1"/>
  <c r="Q25" i="1"/>
  <c r="Q26" i="1"/>
  <c r="Q27" i="1"/>
  <c r="Q22" i="1"/>
  <c r="Q24" i="1"/>
  <c r="Q21" i="1"/>
  <c r="E17" i="2"/>
  <c r="E15" i="2"/>
  <c r="E13" i="2"/>
  <c r="E29" i="1"/>
  <c r="F29" i="1"/>
  <c r="G29" i="1"/>
  <c r="E26" i="1"/>
  <c r="F26" i="1"/>
  <c r="G26" i="1"/>
  <c r="K26" i="1"/>
  <c r="E24" i="1"/>
  <c r="F24" i="1"/>
  <c r="G24" i="1"/>
  <c r="J24" i="1"/>
  <c r="E38" i="1"/>
  <c r="F38" i="1"/>
  <c r="U38" i="1"/>
  <c r="E34" i="1"/>
  <c r="F34" i="1"/>
  <c r="G34" i="1"/>
  <c r="K34" i="1"/>
  <c r="G30" i="1"/>
  <c r="G25" i="1"/>
  <c r="K25" i="1"/>
  <c r="G33" i="1"/>
  <c r="K33" i="1"/>
  <c r="E36" i="1"/>
  <c r="F36" i="1"/>
  <c r="G36" i="1"/>
  <c r="J36" i="1"/>
  <c r="E32" i="1"/>
  <c r="F32" i="1"/>
  <c r="G32" i="1"/>
  <c r="K32" i="1"/>
  <c r="E23" i="1"/>
  <c r="F23" i="1"/>
  <c r="G28" i="1"/>
  <c r="K28" i="1"/>
  <c r="E22" i="1"/>
  <c r="F22" i="1"/>
  <c r="G22" i="1"/>
  <c r="G31" i="1"/>
  <c r="K31" i="1"/>
  <c r="E30" i="1"/>
  <c r="F30" i="1"/>
  <c r="E27" i="1"/>
  <c r="F27" i="1"/>
  <c r="G27" i="1"/>
  <c r="K27" i="1"/>
  <c r="K22" i="1"/>
  <c r="E11" i="2"/>
  <c r="E12" i="2"/>
  <c r="E16" i="2"/>
  <c r="E24" i="2"/>
  <c r="K30" i="1"/>
  <c r="N30" i="1"/>
  <c r="E19" i="2"/>
  <c r="N29" i="1"/>
  <c r="K29" i="1"/>
  <c r="C11" i="1"/>
  <c r="C12" i="1"/>
  <c r="C16" i="1" l="1"/>
  <c r="D18" i="1" s="1"/>
  <c r="O33" i="1"/>
  <c r="O32" i="1"/>
  <c r="O26" i="1"/>
  <c r="O34" i="1"/>
  <c r="O38" i="1"/>
  <c r="O24" i="1"/>
  <c r="O22" i="1"/>
  <c r="O36" i="1"/>
  <c r="O29" i="1"/>
  <c r="O31" i="1"/>
  <c r="O28" i="1"/>
  <c r="O37" i="1"/>
  <c r="O27" i="1"/>
  <c r="O35" i="1"/>
  <c r="O30" i="1"/>
  <c r="O21" i="1"/>
  <c r="O23" i="1"/>
  <c r="C15" i="1"/>
  <c r="F18" i="1" s="1"/>
  <c r="O25" i="1"/>
  <c r="F19" i="1" l="1"/>
  <c r="C18" i="1"/>
</calcChain>
</file>

<file path=xl/sharedStrings.xml><?xml version="1.0" encoding="utf-8"?>
<sst xmlns="http://schemas.openxmlformats.org/spreadsheetml/2006/main" count="232" uniqueCount="143">
  <si>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</si>
  <si>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</si>
  <si>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</si>
  <si>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</si>
  <si>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</si>
  <si>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</si>
  <si>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</si>
  <si>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</si>
  <si>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</si>
  <si>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</si>
  <si>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</si>
  <si>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</si>
  <si>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</si>
  <si>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</si>
  <si>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</si>
  <si>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</si>
  <si>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</si>
  <si>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</si>
  <si>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</si>
  <si>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</si>
  <si>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</si>
  <si>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</si>
  <si>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</si>
  <si>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</si>
  <si>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</si>
  <si>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</si>
  <si>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</si>
  <si>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</si>
  <si>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EA/SD</t>
  </si>
  <si>
    <t>IBVS 5263</t>
  </si>
  <si>
    <t>I</t>
  </si>
  <si>
    <t>IBVS 5643</t>
  </si>
  <si>
    <t>E.Bl„ttler BBS 124</t>
  </si>
  <si>
    <t>Krajci</t>
  </si>
  <si>
    <t>II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</si>
  <si>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</si>
  <si>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</si>
  <si>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</si>
  <si>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</si>
  <si>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</si>
  <si>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</si>
  <si>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5806</t>
  </si>
  <si>
    <t>Start of linear fit &gt;&gt;&gt;&gt;&gt;&gt;&gt;&gt;&gt;&gt;&gt;&gt;&gt;&gt;&gt;&gt;&gt;&gt;&gt;&gt;&gt;</t>
  </si>
  <si>
    <t>OEJV 0107</t>
  </si>
  <si>
    <t>Add cycle</t>
  </si>
  <si>
    <t>Old Cycle</t>
  </si>
  <si>
    <t>OEJV 0137</t>
  </si>
  <si>
    <t>IBVS 6010</t>
  </si>
  <si>
    <t>IBVS 6048</t>
  </si>
  <si>
    <t>V0842 Cyg / GSC 2132-3422</t>
  </si>
  <si>
    <t>BAD?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</si>
  <si>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</si>
  <si>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</si>
  <si>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</si>
  <si>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</si>
  <si>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</si>
  <si>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</si>
  <si>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</si>
  <si>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</si>
  <si>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</si>
  <si>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</si>
  <si>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</si>
  <si>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</si>
  <si>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2451284.5151 </t>
  </si>
  <si>
    <t> 16.04.1999 00:21 </t>
  </si>
  <si>
    <t> 0.0240 </t>
  </si>
  <si>
    <t>E </t>
  </si>
  <si>
    <t>?</t>
  </si>
  <si>
    <t> J.Safar </t>
  </si>
  <si>
    <t>IBVS 5263 </t>
  </si>
  <si>
    <t>2451877.292 </t>
  </si>
  <si>
    <t> 28.11.2000 19:00 </t>
  </si>
  <si>
    <t> -0.004 </t>
  </si>
  <si>
    <t> E.Blättler </t>
  </si>
  <si>
    <t> BBS 124 </t>
  </si>
  <si>
    <t>2452815.4978 </t>
  </si>
  <si>
    <t> 24.06.2003 23:56 </t>
  </si>
  <si>
    <t> 0.0242 </t>
  </si>
  <si>
    <t>o</t>
  </si>
  <si>
    <t> Moschner &amp; Frank </t>
  </si>
  <si>
    <t>BAVM 172 </t>
  </si>
  <si>
    <t>2453302.6309 </t>
  </si>
  <si>
    <t> 24.10.2004 03:08 </t>
  </si>
  <si>
    <t> 0.0266 </t>
  </si>
  <si>
    <t> T.Krajci </t>
  </si>
  <si>
    <t>IBVS 5690 </t>
  </si>
  <si>
    <t>2453336.5620 </t>
  </si>
  <si>
    <t> 27.11.2004 01:29 </t>
  </si>
  <si>
    <t> 0.0217 </t>
  </si>
  <si>
    <t>2453339.5750 </t>
  </si>
  <si>
    <t> 30.11.2004 01:48 </t>
  </si>
  <si>
    <t> 0.0278 </t>
  </si>
  <si>
    <t>2453941.8300 </t>
  </si>
  <si>
    <t> 25.07.2006 07:55 </t>
  </si>
  <si>
    <t> 0.0276 </t>
  </si>
  <si>
    <t>C </t>
  </si>
  <si>
    <t>IBVS 5806 </t>
  </si>
  <si>
    <t>2454205.5832 </t>
  </si>
  <si>
    <t> 15.04.2007 01:59 </t>
  </si>
  <si>
    <t> 0.0257 </t>
  </si>
  <si>
    <t>R</t>
  </si>
  <si>
    <t> M.Lehky </t>
  </si>
  <si>
    <t>OEJV 0107 </t>
  </si>
  <si>
    <t>2454645.4646 </t>
  </si>
  <si>
    <t> 27.06.2008 23:09 </t>
  </si>
  <si>
    <t> 0.0288 </t>
  </si>
  <si>
    <t>2454937.5723 </t>
  </si>
  <si>
    <t> 16.04.2009 01:44 </t>
  </si>
  <si>
    <t> 0.0299 </t>
  </si>
  <si>
    <t>BAVM 212 </t>
  </si>
  <si>
    <t>2455060.4318 </t>
  </si>
  <si>
    <t> 16.08.2009 22:21 </t>
  </si>
  <si>
    <t> 0.0327 </t>
  </si>
  <si>
    <t>-I</t>
  </si>
  <si>
    <t> F.Agerer </t>
  </si>
  <si>
    <t>2455063.4357 </t>
  </si>
  <si>
    <t> 19.08.2009 22:27 </t>
  </si>
  <si>
    <t>22897.5</t>
  </si>
  <si>
    <t> 0.0297 </t>
  </si>
  <si>
    <t>OEJV 0137 </t>
  </si>
  <si>
    <t>2455377.4512 </t>
  </si>
  <si>
    <t> 29.06.2010 22:49 </t>
  </si>
  <si>
    <t>23263</t>
  </si>
  <si>
    <t> 0.0305 </t>
  </si>
  <si>
    <t>2455386.4655 </t>
  </si>
  <si>
    <t> 08.07.2010 23:10 </t>
  </si>
  <si>
    <t>23273.5</t>
  </si>
  <si>
    <t> 0.0239 </t>
  </si>
  <si>
    <t>2455451.3370 </t>
  </si>
  <si>
    <t> 11.09.2010 20:05 </t>
  </si>
  <si>
    <t>23349</t>
  </si>
  <si>
    <t>BAVM 215 </t>
  </si>
  <si>
    <t>2455712.5166 </t>
  </si>
  <si>
    <t> 31.05.2011 00:23 </t>
  </si>
  <si>
    <t>23653</t>
  </si>
  <si>
    <t> 0.0324 </t>
  </si>
  <si>
    <t>BAVM 220 </t>
  </si>
  <si>
    <t>2456133.5030 </t>
  </si>
  <si>
    <t> 25.07.2012 00:04 </t>
  </si>
  <si>
    <t>24143</t>
  </si>
  <si>
    <t> 0.0416 </t>
  </si>
  <si>
    <t> U.Schmidt </t>
  </si>
  <si>
    <t>BAVM 228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</si>
</sst>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0" fillId="0" borderId="0" xfId="0" applyNumberFormat="1" applyAlignment="1">
      <alignment horizontal="left"/>
    </xf>
    <xf numFmtId="172" fontId="0" fillId="0" borderId="0" xfId="0" applyNumberFormat="1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5" fillId="0" borderId="0" xfId="0" applyFont="1" applyAlignment="1">
      <alignment wrapText="1"/>
    </xf>
    <xf numFmtId="0" fontId="10" fillId="0" borderId="0" xfId="0" applyFont="1" applyAlignment="1"/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8" fillId="0" borderId="0" xfId="7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0" xfId="0" quotePrefix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18" fillId="2" borderId="10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21" fillId="0" borderId="3" xfId="0" applyFont="1" applyFill="1" applyBorder="1" applyAlignment="1">
      <alignment horizontal="center"/>
    </xf>
    <xf numFmtId="0" fontId="0" fillId="0" borderId="0" xfId="0" applyNumberFormat="1" applyAlignment="1"/>
    <xf numFmtId="0" fontId="0" fillId="0" borderId="11" xfId="0" applyNumberFormat="1" applyBorder="1" applyAlignment="1"/>
    <xf numFmtId="0" fontId="12" fillId="0" borderId="0" xfId="0" applyNumberFormat="1" applyFont="1">
      <alignment vertical="top"/>
    </xf>
    <xf numFmtId="0" fontId="10" fillId="0" borderId="0" xfId="0" applyNumberFormat="1" applyFont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10" fillId="0" borderId="0" xfId="0" applyNumberFormat="1" applyFont="1">
      <alignment vertical="top"/>
    </xf>
    <xf numFmtId="0" fontId="0" fillId="0" borderId="0" xfId="0" applyNumberFormat="1" applyAlignment="1">
      <alignment horizontal="center"/>
    </xf>
    <xf numFmtId="0" fontId="0" fillId="0" borderId="0" xfId="0" applyNumberFormat="1">
      <alignment vertical="top"/>
    </xf>
    <xf numFmtId="0" fontId="10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0" fillId="0" borderId="11" xfId="0" applyNumberFormat="1" applyBorder="1">
      <alignment vertical="top"/>
    </xf>
    <xf numFmtId="0" fontId="1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left" wrapText="1"/>
    </xf>
    <xf numFmtId="0" fontId="16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V0842 Cyg - O-C Diagr.</a:t>
            </a:r>
          </a:p>
        </c:rich>
      </c:tx>
      <c:layout>
        <c:manualLayout>
          <c:xMode val="edge"/>
          <c:yMode val="edge"/>
          <c:x val="0.3554122939802152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18499</c:v>
                </c:pt>
                <c:pt idx="2">
                  <c:v>19189</c:v>
                </c:pt>
                <c:pt idx="3">
                  <c:v>20281</c:v>
                </c:pt>
                <c:pt idx="4">
                  <c:v>20848</c:v>
                </c:pt>
                <c:pt idx="5">
                  <c:v>20887.5</c:v>
                </c:pt>
                <c:pt idx="6">
                  <c:v>20891</c:v>
                </c:pt>
                <c:pt idx="7">
                  <c:v>21592</c:v>
                </c:pt>
                <c:pt idx="8">
                  <c:v>21899</c:v>
                </c:pt>
                <c:pt idx="9">
                  <c:v>22411</c:v>
                </c:pt>
                <c:pt idx="10">
                  <c:v>22751</c:v>
                </c:pt>
                <c:pt idx="11">
                  <c:v>22894</c:v>
                </c:pt>
                <c:pt idx="12">
                  <c:v>22897.5</c:v>
                </c:pt>
                <c:pt idx="13">
                  <c:v>23263</c:v>
                </c:pt>
                <c:pt idx="14">
                  <c:v>23273.5</c:v>
                </c:pt>
                <c:pt idx="15">
                  <c:v>23349</c:v>
                </c:pt>
                <c:pt idx="16">
                  <c:v>23653</c:v>
                </c:pt>
                <c:pt idx="17">
                  <c:v>24143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78-49CB-B766-BF15D35BED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18499</c:v>
                </c:pt>
                <c:pt idx="2">
                  <c:v>19189</c:v>
                </c:pt>
                <c:pt idx="3">
                  <c:v>20281</c:v>
                </c:pt>
                <c:pt idx="4">
                  <c:v>20848</c:v>
                </c:pt>
                <c:pt idx="5">
                  <c:v>20887.5</c:v>
                </c:pt>
                <c:pt idx="6">
                  <c:v>20891</c:v>
                </c:pt>
                <c:pt idx="7">
                  <c:v>21592</c:v>
                </c:pt>
                <c:pt idx="8">
                  <c:v>21899</c:v>
                </c:pt>
                <c:pt idx="9">
                  <c:v>22411</c:v>
                </c:pt>
                <c:pt idx="10">
                  <c:v>22751</c:v>
                </c:pt>
                <c:pt idx="11">
                  <c:v>22894</c:v>
                </c:pt>
                <c:pt idx="12">
                  <c:v>22897.5</c:v>
                </c:pt>
                <c:pt idx="13">
                  <c:v>23263</c:v>
                </c:pt>
                <c:pt idx="14">
                  <c:v>23273.5</c:v>
                </c:pt>
                <c:pt idx="15">
                  <c:v>23349</c:v>
                </c:pt>
                <c:pt idx="16">
                  <c:v>23653</c:v>
                </c:pt>
                <c:pt idx="17">
                  <c:v>24143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8-49CB-B766-BF15D35BED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18499</c:v>
                </c:pt>
                <c:pt idx="2">
                  <c:v>19189</c:v>
                </c:pt>
                <c:pt idx="3">
                  <c:v>20281</c:v>
                </c:pt>
                <c:pt idx="4">
                  <c:v>20848</c:v>
                </c:pt>
                <c:pt idx="5">
                  <c:v>20887.5</c:v>
                </c:pt>
                <c:pt idx="6">
                  <c:v>20891</c:v>
                </c:pt>
                <c:pt idx="7">
                  <c:v>21592</c:v>
                </c:pt>
                <c:pt idx="8">
                  <c:v>21899</c:v>
                </c:pt>
                <c:pt idx="9">
                  <c:v>22411</c:v>
                </c:pt>
                <c:pt idx="10">
                  <c:v>22751</c:v>
                </c:pt>
                <c:pt idx="11">
                  <c:v>22894</c:v>
                </c:pt>
                <c:pt idx="12">
                  <c:v>22897.5</c:v>
                </c:pt>
                <c:pt idx="13">
                  <c:v>23263</c:v>
                </c:pt>
                <c:pt idx="14">
                  <c:v>23273.5</c:v>
                </c:pt>
                <c:pt idx="15">
                  <c:v>23349</c:v>
                </c:pt>
                <c:pt idx="16">
                  <c:v>23653</c:v>
                </c:pt>
                <c:pt idx="17">
                  <c:v>24143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">
                  <c:v>2.4246799999673385E-2</c:v>
                </c:pt>
                <c:pt idx="15">
                  <c:v>3.0517200000758749E-2</c:v>
                </c:pt>
                <c:pt idx="16">
                  <c:v>3.2408400002168491E-2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78-49CB-B766-BF15D35BED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18499</c:v>
                </c:pt>
                <c:pt idx="2">
                  <c:v>19189</c:v>
                </c:pt>
                <c:pt idx="3">
                  <c:v>20281</c:v>
                </c:pt>
                <c:pt idx="4">
                  <c:v>20848</c:v>
                </c:pt>
                <c:pt idx="5">
                  <c:v>20887.5</c:v>
                </c:pt>
                <c:pt idx="6">
                  <c:v>20891</c:v>
                </c:pt>
                <c:pt idx="7">
                  <c:v>21592</c:v>
                </c:pt>
                <c:pt idx="8">
                  <c:v>21899</c:v>
                </c:pt>
                <c:pt idx="9">
                  <c:v>22411</c:v>
                </c:pt>
                <c:pt idx="10">
                  <c:v>22751</c:v>
                </c:pt>
                <c:pt idx="11">
                  <c:v>22894</c:v>
                </c:pt>
                <c:pt idx="12">
                  <c:v>22897.5</c:v>
                </c:pt>
                <c:pt idx="13">
                  <c:v>23263</c:v>
                </c:pt>
                <c:pt idx="14">
                  <c:v>23273.5</c:v>
                </c:pt>
                <c:pt idx="15">
                  <c:v>23349</c:v>
                </c:pt>
                <c:pt idx="16">
                  <c:v>23653</c:v>
                </c:pt>
                <c:pt idx="17">
                  <c:v>24143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">
                  <c:v>2.4037199997110292E-2</c:v>
                </c:pt>
                <c:pt idx="4">
                  <c:v>2.655439999216469E-2</c:v>
                </c:pt>
                <c:pt idx="5">
                  <c:v>2.1734999994805548E-2</c:v>
                </c:pt>
                <c:pt idx="6">
                  <c:v>2.7754800001275726E-2</c:v>
                </c:pt>
                <c:pt idx="7">
                  <c:v>2.7577600078075193E-2</c:v>
                </c:pt>
                <c:pt idx="8">
                  <c:v>2.5707200002216268E-2</c:v>
                </c:pt>
                <c:pt idx="9">
                  <c:v>2.8830800001742318E-2</c:v>
                </c:pt>
                <c:pt idx="10">
                  <c:v>2.9862800001865253E-2</c:v>
                </c:pt>
                <c:pt idx="11">
                  <c:v>3.2743199997639749E-2</c:v>
                </c:pt>
                <c:pt idx="12">
                  <c:v>2.9712999996263534E-2</c:v>
                </c:pt>
                <c:pt idx="13">
                  <c:v>3.0536400008713827E-2</c:v>
                </c:pt>
                <c:pt idx="14">
                  <c:v>2.3885800001153257E-2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78-49CB-B766-BF15D35BED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18499</c:v>
                </c:pt>
                <c:pt idx="2">
                  <c:v>19189</c:v>
                </c:pt>
                <c:pt idx="3">
                  <c:v>20281</c:v>
                </c:pt>
                <c:pt idx="4">
                  <c:v>20848</c:v>
                </c:pt>
                <c:pt idx="5">
                  <c:v>20887.5</c:v>
                </c:pt>
                <c:pt idx="6">
                  <c:v>20891</c:v>
                </c:pt>
                <c:pt idx="7">
                  <c:v>21592</c:v>
                </c:pt>
                <c:pt idx="8">
                  <c:v>21899</c:v>
                </c:pt>
                <c:pt idx="9">
                  <c:v>22411</c:v>
                </c:pt>
                <c:pt idx="10">
                  <c:v>22751</c:v>
                </c:pt>
                <c:pt idx="11">
                  <c:v>22894</c:v>
                </c:pt>
                <c:pt idx="12">
                  <c:v>22897.5</c:v>
                </c:pt>
                <c:pt idx="13">
                  <c:v>23263</c:v>
                </c:pt>
                <c:pt idx="14">
                  <c:v>23273.5</c:v>
                </c:pt>
                <c:pt idx="15">
                  <c:v>23349</c:v>
                </c:pt>
                <c:pt idx="16">
                  <c:v>23653</c:v>
                </c:pt>
                <c:pt idx="17">
                  <c:v>24143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78-49CB-B766-BF15D35BED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18499</c:v>
                </c:pt>
                <c:pt idx="2">
                  <c:v>19189</c:v>
                </c:pt>
                <c:pt idx="3">
                  <c:v>20281</c:v>
                </c:pt>
                <c:pt idx="4">
                  <c:v>20848</c:v>
                </c:pt>
                <c:pt idx="5">
                  <c:v>20887.5</c:v>
                </c:pt>
                <c:pt idx="6">
                  <c:v>20891</c:v>
                </c:pt>
                <c:pt idx="7">
                  <c:v>21592</c:v>
                </c:pt>
                <c:pt idx="8">
                  <c:v>21899</c:v>
                </c:pt>
                <c:pt idx="9">
                  <c:v>22411</c:v>
                </c:pt>
                <c:pt idx="10">
                  <c:v>22751</c:v>
                </c:pt>
                <c:pt idx="11">
                  <c:v>22894</c:v>
                </c:pt>
                <c:pt idx="12">
                  <c:v>22897.5</c:v>
                </c:pt>
                <c:pt idx="13">
                  <c:v>23263</c:v>
                </c:pt>
                <c:pt idx="14">
                  <c:v>23273.5</c:v>
                </c:pt>
                <c:pt idx="15">
                  <c:v>23349</c:v>
                </c:pt>
                <c:pt idx="16">
                  <c:v>23653</c:v>
                </c:pt>
                <c:pt idx="17">
                  <c:v>24143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78-49CB-B766-BF15D35BED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2.8E-3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1.5E-3</c:v>
                  </c:pt>
                  <c:pt idx="6">
                    <c:v>2E-3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2.8999999999999998E-3</c:v>
                  </c:pt>
                  <c:pt idx="16">
                    <c:v>1.6999999999999999E-3</c:v>
                  </c:pt>
                  <c:pt idx="1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18499</c:v>
                </c:pt>
                <c:pt idx="2">
                  <c:v>19189</c:v>
                </c:pt>
                <c:pt idx="3">
                  <c:v>20281</c:v>
                </c:pt>
                <c:pt idx="4">
                  <c:v>20848</c:v>
                </c:pt>
                <c:pt idx="5">
                  <c:v>20887.5</c:v>
                </c:pt>
                <c:pt idx="6">
                  <c:v>20891</c:v>
                </c:pt>
                <c:pt idx="7">
                  <c:v>21592</c:v>
                </c:pt>
                <c:pt idx="8">
                  <c:v>21899</c:v>
                </c:pt>
                <c:pt idx="9">
                  <c:v>22411</c:v>
                </c:pt>
                <c:pt idx="10">
                  <c:v>22751</c:v>
                </c:pt>
                <c:pt idx="11">
                  <c:v>22894</c:v>
                </c:pt>
                <c:pt idx="12">
                  <c:v>22897.5</c:v>
                </c:pt>
                <c:pt idx="13">
                  <c:v>23263</c:v>
                </c:pt>
                <c:pt idx="14">
                  <c:v>23273.5</c:v>
                </c:pt>
                <c:pt idx="15">
                  <c:v>23349</c:v>
                </c:pt>
                <c:pt idx="16">
                  <c:v>23653</c:v>
                </c:pt>
                <c:pt idx="17">
                  <c:v>24143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8">
                  <c:v>2.5707200002216268E-2</c:v>
                </c:pt>
                <c:pt idx="9">
                  <c:v>2.8830800001742318E-2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78-49CB-B766-BF15D35BED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18499</c:v>
                </c:pt>
                <c:pt idx="2">
                  <c:v>19189</c:v>
                </c:pt>
                <c:pt idx="3">
                  <c:v>20281</c:v>
                </c:pt>
                <c:pt idx="4">
                  <c:v>20848</c:v>
                </c:pt>
                <c:pt idx="5">
                  <c:v>20887.5</c:v>
                </c:pt>
                <c:pt idx="6">
                  <c:v>20891</c:v>
                </c:pt>
                <c:pt idx="7">
                  <c:v>21592</c:v>
                </c:pt>
                <c:pt idx="8">
                  <c:v>21899</c:v>
                </c:pt>
                <c:pt idx="9">
                  <c:v>22411</c:v>
                </c:pt>
                <c:pt idx="10">
                  <c:v>22751</c:v>
                </c:pt>
                <c:pt idx="11">
                  <c:v>22894</c:v>
                </c:pt>
                <c:pt idx="12">
                  <c:v>22897.5</c:v>
                </c:pt>
                <c:pt idx="13">
                  <c:v>23263</c:v>
                </c:pt>
                <c:pt idx="14">
                  <c:v>23273.5</c:v>
                </c:pt>
                <c:pt idx="15">
                  <c:v>23349</c:v>
                </c:pt>
                <c:pt idx="16">
                  <c:v>23653</c:v>
                </c:pt>
                <c:pt idx="17">
                  <c:v>24143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-6.50789961253442E-3</c:v>
                </c:pt>
                <c:pt idx="1">
                  <c:v>2.2343883807347285E-2</c:v>
                </c:pt>
                <c:pt idx="2">
                  <c:v>2.3420035521478772E-2</c:v>
                </c:pt>
                <c:pt idx="3">
                  <c:v>2.5123162582104255E-2</c:v>
                </c:pt>
                <c:pt idx="4">
                  <c:v>2.6007478555890567E-2</c:v>
                </c:pt>
                <c:pt idx="5">
                  <c:v>2.6069084342424175E-2</c:v>
                </c:pt>
                <c:pt idx="6">
                  <c:v>2.6074543083003106E-2</c:v>
                </c:pt>
                <c:pt idx="7">
                  <c:v>2.7167850838954077E-2</c:v>
                </c:pt>
                <c:pt idx="8">
                  <c:v>2.764666036973432E-2</c:v>
                </c:pt>
                <c:pt idx="9">
                  <c:v>2.844519613442319E-2</c:v>
                </c:pt>
                <c:pt idx="10">
                  <c:v>2.8975473790661895E-2</c:v>
                </c:pt>
                <c:pt idx="11">
                  <c:v>2.9198502334315233E-2</c:v>
                </c:pt>
                <c:pt idx="12">
                  <c:v>2.9203961074894164E-2</c:v>
                </c:pt>
                <c:pt idx="13">
                  <c:v>2.9774009555350766E-2</c:v>
                </c:pt>
                <c:pt idx="14">
                  <c:v>2.9790385777087553E-2</c:v>
                </c:pt>
                <c:pt idx="15">
                  <c:v>2.9908138609575852E-2</c:v>
                </c:pt>
                <c:pt idx="16">
                  <c:v>3.0382269219859866E-2</c:v>
                </c:pt>
                <c:pt idx="17">
                  <c:v>3.1146492900909765E-2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78-49CB-B766-BF15D35BED6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18499</c:v>
                </c:pt>
                <c:pt idx="2">
                  <c:v>19189</c:v>
                </c:pt>
                <c:pt idx="3">
                  <c:v>20281</c:v>
                </c:pt>
                <c:pt idx="4">
                  <c:v>20848</c:v>
                </c:pt>
                <c:pt idx="5">
                  <c:v>20887.5</c:v>
                </c:pt>
                <c:pt idx="6">
                  <c:v>20891</c:v>
                </c:pt>
                <c:pt idx="7">
                  <c:v>21592</c:v>
                </c:pt>
                <c:pt idx="8">
                  <c:v>21899</c:v>
                </c:pt>
                <c:pt idx="9">
                  <c:v>22411</c:v>
                </c:pt>
                <c:pt idx="10">
                  <c:v>22751</c:v>
                </c:pt>
                <c:pt idx="11">
                  <c:v>22894</c:v>
                </c:pt>
                <c:pt idx="12">
                  <c:v>22897.5</c:v>
                </c:pt>
                <c:pt idx="13">
                  <c:v>23263</c:v>
                </c:pt>
                <c:pt idx="14">
                  <c:v>23273.5</c:v>
                </c:pt>
                <c:pt idx="15">
                  <c:v>23349</c:v>
                </c:pt>
                <c:pt idx="16">
                  <c:v>23653</c:v>
                </c:pt>
                <c:pt idx="17">
                  <c:v>24143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-3.7308000028133392E-3</c:v>
                </c:pt>
                <c:pt idx="17">
                  <c:v>4.1580399993108585E-2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78-49CB-B766-BF15D35BE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489728"/>
        <c:axId val="1"/>
      </c:scatterChart>
      <c:valAx>
        <c:axId val="958489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8489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2004036652123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B7B7C59-858B-7314-D3CB-4C9E0F619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07.pdf" TargetMode="External"/><Relationship Id="rId13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5690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bav-astro.de/sfs/BAVM_link.php?BAVMnr=172" TargetMode="External"/><Relationship Id="rId16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806" TargetMode="External"/><Relationship Id="rId11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5690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konkoly.hu/cgi-bin/IBVS?5690" TargetMode="External"/><Relationship Id="rId9" Type="http://schemas.openxmlformats.org/officeDocument/2006/relationships/hyperlink" Target="http://www.bav-astro.de/sfs/BAVM_link.php?BAVMnr=212" TargetMode="External"/><Relationship Id="rId1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style="59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21" ht="20.25" x14ac:dyDescent="0.3">
      <c r="A1" s="1" t="s">
        <v>49</v>
      </c>
    </row>
    <row r="2" spans="1:21" x14ac:dyDescent="0.2">
      <c r="A2" t="s">
        <v>24</v>
      </c>
      <c r="B2" s="9" t="s">
        <v>28</v>
      </c>
    </row>
    <row r="4" spans="1:21" ht="14.25" thickTop="1" thickBot="1" x14ac:dyDescent="0.25">
      <c r="A4" s="6" t="s">
        <v>0</v>
      </c>
      <c r="C4" s="60">
        <v>35391.311999999998</v>
      </c>
      <c r="D4" s="3">
        <v>0.85913720000000005</v>
      </c>
    </row>
    <row r="5" spans="1:21" ht="13.5" thickTop="1" x14ac:dyDescent="0.2">
      <c r="A5" s="19" t="s">
        <v>35</v>
      </c>
      <c r="B5" s="9"/>
      <c r="C5" s="61">
        <v>-9.5</v>
      </c>
      <c r="D5" s="9" t="s">
        <v>36</v>
      </c>
    </row>
    <row r="6" spans="1:21" x14ac:dyDescent="0.2">
      <c r="A6" s="6" t="s">
        <v>1</v>
      </c>
    </row>
    <row r="7" spans="1:21" x14ac:dyDescent="0.2">
      <c r="A7" t="s">
        <v>2</v>
      </c>
      <c r="C7" s="59">
        <f>+C4</f>
        <v>35391.311999999998</v>
      </c>
    </row>
    <row r="8" spans="1:21" x14ac:dyDescent="0.2">
      <c r="A8" t="s">
        <v>3</v>
      </c>
      <c r="C8" s="59">
        <f>+D4</f>
        <v>0.85913720000000005</v>
      </c>
    </row>
    <row r="9" spans="1:21" x14ac:dyDescent="0.2">
      <c r="A9" s="29" t="s">
        <v>42</v>
      </c>
      <c r="B9" s="30">
        <v>22</v>
      </c>
      <c r="C9" s="62" t="str">
        <f>"F"&amp;B9</f>
        <v>F22</v>
      </c>
      <c r="D9" s="28" t="str">
        <f>"G"&amp;B9</f>
        <v>G22</v>
      </c>
    </row>
    <row r="10" spans="1:21" ht="13.5" thickBot="1" x14ac:dyDescent="0.25">
      <c r="A10" s="9"/>
      <c r="B10" s="9"/>
      <c r="C10" s="63" t="s">
        <v>20</v>
      </c>
      <c r="D10" s="5" t="s">
        <v>21</v>
      </c>
      <c r="E10" s="9"/>
    </row>
    <row r="11" spans="1:21" x14ac:dyDescent="0.2">
      <c r="A11" s="9" t="s">
        <v>16</v>
      </c>
      <c r="B11" s="9"/>
      <c r="C11" s="64">
        <f ca="1">INTERCEPT(INDIRECT($D$9):G986,INDIRECT($C$9):F986)</f>
        <v>-6.50789961253442E-3</v>
      </c>
      <c r="D11" s="4"/>
      <c r="E11" s="9"/>
      <c r="U11" s="57"/>
    </row>
    <row r="12" spans="1:21" x14ac:dyDescent="0.2">
      <c r="A12" s="9" t="s">
        <v>17</v>
      </c>
      <c r="B12" s="9"/>
      <c r="C12" s="64">
        <f ca="1">SLOPE(INDIRECT($D$9):G986,INDIRECT($C$9):F986)</f>
        <v>1.559640165407952E-6</v>
      </c>
      <c r="D12" s="4"/>
      <c r="E12" s="9"/>
      <c r="U12" s="57"/>
    </row>
    <row r="13" spans="1:21" x14ac:dyDescent="0.2">
      <c r="A13" s="9" t="s">
        <v>19</v>
      </c>
      <c r="B13" s="9"/>
      <c r="C13" s="65" t="s">
        <v>14</v>
      </c>
      <c r="U13" s="57"/>
    </row>
    <row r="14" spans="1:21" x14ac:dyDescent="0.2">
      <c r="A14" s="9"/>
      <c r="B14" s="9"/>
      <c r="C14" s="66"/>
      <c r="U14" s="57"/>
    </row>
    <row r="15" spans="1:21" x14ac:dyDescent="0.2">
      <c r="A15" s="21" t="s">
        <v>18</v>
      </c>
      <c r="B15" s="9"/>
      <c r="C15" s="67">
        <f ca="1">(C7+C11)+(C8+C12)*INT(MAX(F21:F3527))</f>
        <v>56133.4925660929</v>
      </c>
      <c r="E15" s="22" t="s">
        <v>44</v>
      </c>
      <c r="F15" s="20">
        <v>1</v>
      </c>
      <c r="U15" s="57"/>
    </row>
    <row r="16" spans="1:21" x14ac:dyDescent="0.2">
      <c r="A16" s="24" t="s">
        <v>4</v>
      </c>
      <c r="B16" s="9"/>
      <c r="C16" s="68">
        <f ca="1">+C8+C12</f>
        <v>0.85913875964016551</v>
      </c>
      <c r="E16" s="22" t="s">
        <v>37</v>
      </c>
      <c r="F16" s="23">
        <f ca="1">NOW()+15018.5+$C$5/24</f>
        <v>60340.770397222223</v>
      </c>
      <c r="U16" s="57"/>
    </row>
    <row r="17" spans="1:21" ht="13.5" thickBot="1" x14ac:dyDescent="0.25">
      <c r="A17" s="22" t="s">
        <v>39</v>
      </c>
      <c r="B17" s="9"/>
      <c r="C17" s="66">
        <f>COUNT(C21:C2185)</f>
        <v>18</v>
      </c>
      <c r="E17" s="22" t="s">
        <v>45</v>
      </c>
      <c r="F17" s="23">
        <f ca="1">ROUND(2*(F16-$C$7)/$C$8,0)/2+F15</f>
        <v>29041</v>
      </c>
      <c r="U17" s="57"/>
    </row>
    <row r="18" spans="1:21" ht="14.25" thickTop="1" thickBot="1" x14ac:dyDescent="0.25">
      <c r="A18" s="24" t="s">
        <v>5</v>
      </c>
      <c r="B18" s="9"/>
      <c r="C18" s="69">
        <f ca="1">+C15</f>
        <v>56133.4925660929</v>
      </c>
      <c r="D18" s="26">
        <f ca="1">+C16</f>
        <v>0.85913875964016551</v>
      </c>
      <c r="E18" s="22" t="s">
        <v>38</v>
      </c>
      <c r="F18" s="28">
        <f ca="1">ROUND(2*(F16-$C$15)/$C$16,0)/2+F15</f>
        <v>4898</v>
      </c>
      <c r="U18" s="57"/>
    </row>
    <row r="19" spans="1:21" ht="13.5" thickTop="1" x14ac:dyDescent="0.2">
      <c r="E19" s="22" t="s">
        <v>40</v>
      </c>
      <c r="F19" s="25">
        <f ca="1">+$C$15+$C$16*F18-15018.5-$C$5/24</f>
        <v>45323.450044143763</v>
      </c>
      <c r="U19" s="57"/>
    </row>
    <row r="20" spans="1:21" ht="13.5" thickBot="1" x14ac:dyDescent="0.25">
      <c r="A20" s="5" t="s">
        <v>6</v>
      </c>
      <c r="B20" s="5" t="s">
        <v>7</v>
      </c>
      <c r="C20" s="63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59</v>
      </c>
      <c r="I20" s="8" t="s">
        <v>62</v>
      </c>
      <c r="J20" s="8" t="s">
        <v>56</v>
      </c>
      <c r="K20" s="8" t="s">
        <v>54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R20" s="5"/>
      <c r="S20" s="5"/>
      <c r="T20" s="5"/>
      <c r="U20" s="58" t="s">
        <v>50</v>
      </c>
    </row>
    <row r="21" spans="1:21" x14ac:dyDescent="0.2">
      <c r="A21" t="s">
        <v>12</v>
      </c>
      <c r="C21" s="17">
        <f>+C4</f>
        <v>35391.311999999998</v>
      </c>
      <c r="D21" s="15" t="s">
        <v>14</v>
      </c>
      <c r="E21">
        <f t="shared" ref="E21:E38" si="0">+(C21-C$7)/C$8</f>
        <v>0</v>
      </c>
      <c r="F21">
        <f t="shared" ref="F21:F38" si="1">ROUND(2*E21,0)/2</f>
        <v>0</v>
      </c>
      <c r="G21">
        <f>+C21-(C$7+F21*C$8)</f>
        <v>0</v>
      </c>
      <c r="H21">
        <f>+G21</f>
        <v>0</v>
      </c>
      <c r="O21">
        <f t="shared" ref="O21:O38" ca="1" si="2">+C$11+C$12*$F21</f>
        <v>-6.50789961253442E-3</v>
      </c>
      <c r="Q21" s="2">
        <f t="shared" ref="Q21:Q38" si="3">+C21-15018.5</f>
        <v>20372.811999999998</v>
      </c>
      <c r="R21" s="2"/>
      <c r="S21" s="2"/>
      <c r="T21" s="2"/>
      <c r="U21" s="57"/>
    </row>
    <row r="22" spans="1:21" x14ac:dyDescent="0.2">
      <c r="A22" s="10" t="s">
        <v>29</v>
      </c>
      <c r="B22" s="11" t="s">
        <v>30</v>
      </c>
      <c r="C22" s="72">
        <v>51284.515099999997</v>
      </c>
      <c r="D22" s="16">
        <v>2.8E-3</v>
      </c>
      <c r="E22">
        <f t="shared" si="0"/>
        <v>18499.02797830195</v>
      </c>
      <c r="F22">
        <f t="shared" si="1"/>
        <v>18499</v>
      </c>
      <c r="G22">
        <f>+C22-(C$7+F22*C$8)</f>
        <v>2.4037199997110292E-2</v>
      </c>
      <c r="K22">
        <f>+G22</f>
        <v>2.4037199997110292E-2</v>
      </c>
      <c r="O22">
        <f t="shared" ca="1" si="2"/>
        <v>2.2343883807347285E-2</v>
      </c>
      <c r="Q22" s="2">
        <f t="shared" si="3"/>
        <v>36266.015099999997</v>
      </c>
      <c r="R22" s="2"/>
      <c r="S22" s="2"/>
      <c r="T22" s="2"/>
      <c r="U22" s="57"/>
    </row>
    <row r="23" spans="1:21" x14ac:dyDescent="0.2">
      <c r="A23" s="14" t="s">
        <v>32</v>
      </c>
      <c r="C23" s="71">
        <v>51877.292000000001</v>
      </c>
      <c r="D23" s="15"/>
      <c r="E23">
        <f t="shared" si="0"/>
        <v>19188.995657503834</v>
      </c>
      <c r="F23">
        <f t="shared" si="1"/>
        <v>19189</v>
      </c>
      <c r="O23">
        <f t="shared" ca="1" si="2"/>
        <v>2.3420035521478772E-2</v>
      </c>
      <c r="Q23" s="2">
        <f t="shared" si="3"/>
        <v>36858.792000000001</v>
      </c>
      <c r="R23" s="2"/>
      <c r="S23" s="2"/>
      <c r="T23" s="2"/>
      <c r="U23" s="57">
        <v>-3.7308000028133392E-3</v>
      </c>
    </row>
    <row r="24" spans="1:21" x14ac:dyDescent="0.2">
      <c r="A24" s="12" t="s">
        <v>31</v>
      </c>
      <c r="B24" s="13"/>
      <c r="C24" s="17">
        <v>52815.497799999997</v>
      </c>
      <c r="D24" s="17">
        <v>5.9999999999999995E-4</v>
      </c>
      <c r="E24">
        <f t="shared" si="0"/>
        <v>20281.02822226764</v>
      </c>
      <c r="F24">
        <f t="shared" si="1"/>
        <v>20281</v>
      </c>
      <c r="G24">
        <f t="shared" ref="G24:G37" si="4">+C24-(C$7+F24*C$8)</f>
        <v>2.4246799999673385E-2</v>
      </c>
      <c r="J24">
        <f>+G24</f>
        <v>2.4246799999673385E-2</v>
      </c>
      <c r="O24">
        <f t="shared" ca="1" si="2"/>
        <v>2.5123162582104255E-2</v>
      </c>
      <c r="Q24" s="2">
        <f t="shared" si="3"/>
        <v>37796.997799999997</v>
      </c>
      <c r="R24" s="2"/>
      <c r="S24" s="2"/>
      <c r="T24" s="2"/>
      <c r="U24" s="57"/>
    </row>
    <row r="25" spans="1:21" x14ac:dyDescent="0.2">
      <c r="A25" t="s">
        <v>33</v>
      </c>
      <c r="B25" s="4" t="s">
        <v>30</v>
      </c>
      <c r="C25" s="17">
        <v>53302.630899999996</v>
      </c>
      <c r="D25" s="18">
        <v>4.0000000000000002E-4</v>
      </c>
      <c r="E25">
        <f t="shared" si="0"/>
        <v>20848.030908218148</v>
      </c>
      <c r="F25">
        <f t="shared" si="1"/>
        <v>20848</v>
      </c>
      <c r="G25">
        <f t="shared" si="4"/>
        <v>2.655439999216469E-2</v>
      </c>
      <c r="K25">
        <f t="shared" ref="K25:K35" si="5">+G25</f>
        <v>2.655439999216469E-2</v>
      </c>
      <c r="O25">
        <f t="shared" ca="1" si="2"/>
        <v>2.6007478555890567E-2</v>
      </c>
      <c r="Q25" s="2">
        <f t="shared" si="3"/>
        <v>38284.130899999996</v>
      </c>
      <c r="R25" s="2"/>
      <c r="S25" s="2"/>
      <c r="T25" s="2"/>
      <c r="U25" s="57"/>
    </row>
    <row r="26" spans="1:21" x14ac:dyDescent="0.2">
      <c r="A26" t="s">
        <v>33</v>
      </c>
      <c r="B26" s="4" t="s">
        <v>34</v>
      </c>
      <c r="C26" s="17">
        <v>53336.561999999998</v>
      </c>
      <c r="D26" s="18">
        <v>1.5E-3</v>
      </c>
      <c r="E26">
        <f t="shared" si="0"/>
        <v>20887.525298636818</v>
      </c>
      <c r="F26">
        <f t="shared" si="1"/>
        <v>20887.5</v>
      </c>
      <c r="G26">
        <f t="shared" si="4"/>
        <v>2.1734999994805548E-2</v>
      </c>
      <c r="K26">
        <f t="shared" si="5"/>
        <v>2.1734999994805548E-2</v>
      </c>
      <c r="O26">
        <f t="shared" ca="1" si="2"/>
        <v>2.6069084342424175E-2</v>
      </c>
      <c r="Q26" s="2">
        <f t="shared" si="3"/>
        <v>38318.061999999998</v>
      </c>
      <c r="R26" s="2"/>
      <c r="S26" s="2"/>
      <c r="T26" s="2"/>
      <c r="U26" s="57"/>
    </row>
    <row r="27" spans="1:21" x14ac:dyDescent="0.2">
      <c r="A27" t="s">
        <v>33</v>
      </c>
      <c r="B27" s="4" t="s">
        <v>30</v>
      </c>
      <c r="C27" s="17">
        <v>53339.574999999997</v>
      </c>
      <c r="D27" s="18">
        <v>2E-3</v>
      </c>
      <c r="E27">
        <f t="shared" si="0"/>
        <v>20891.03230543387</v>
      </c>
      <c r="F27">
        <f t="shared" si="1"/>
        <v>20891</v>
      </c>
      <c r="G27">
        <f t="shared" si="4"/>
        <v>2.7754800001275726E-2</v>
      </c>
      <c r="K27">
        <f t="shared" si="5"/>
        <v>2.7754800001275726E-2</v>
      </c>
      <c r="O27">
        <f t="shared" ca="1" si="2"/>
        <v>2.6074543083003106E-2</v>
      </c>
      <c r="Q27" s="2">
        <f t="shared" si="3"/>
        <v>38321.074999999997</v>
      </c>
      <c r="R27" s="2"/>
      <c r="S27" s="2"/>
      <c r="T27" s="2"/>
      <c r="U27" s="57"/>
    </row>
    <row r="28" spans="1:21" x14ac:dyDescent="0.2">
      <c r="A28" s="27" t="s">
        <v>41</v>
      </c>
      <c r="B28" s="34" t="s">
        <v>30</v>
      </c>
      <c r="C28" s="73">
        <v>53941.830000000075</v>
      </c>
      <c r="D28" s="35">
        <v>2.9999999999999997E-4</v>
      </c>
      <c r="E28">
        <f t="shared" si="0"/>
        <v>21592.03209918052</v>
      </c>
      <c r="F28">
        <f t="shared" si="1"/>
        <v>21592</v>
      </c>
      <c r="G28">
        <f t="shared" si="4"/>
        <v>2.7577600078075193E-2</v>
      </c>
      <c r="K28">
        <f t="shared" si="5"/>
        <v>2.7577600078075193E-2</v>
      </c>
      <c r="O28">
        <f t="shared" ca="1" si="2"/>
        <v>2.7167850838954077E-2</v>
      </c>
      <c r="Q28" s="2">
        <f t="shared" si="3"/>
        <v>38923.330000000075</v>
      </c>
      <c r="R28" s="2"/>
      <c r="S28" s="2"/>
      <c r="T28" s="2"/>
      <c r="U28" s="57"/>
    </row>
    <row r="29" spans="1:21" x14ac:dyDescent="0.2">
      <c r="A29" s="36" t="s">
        <v>43</v>
      </c>
      <c r="B29" s="37" t="s">
        <v>30</v>
      </c>
      <c r="C29" s="77">
        <v>54205.583250000003</v>
      </c>
      <c r="D29" s="38">
        <v>2.9999999999999997E-4</v>
      </c>
      <c r="E29">
        <f t="shared" si="0"/>
        <v>21899.029922112561</v>
      </c>
      <c r="F29">
        <f t="shared" si="1"/>
        <v>21899</v>
      </c>
      <c r="G29">
        <f t="shared" si="4"/>
        <v>2.5707200002216268E-2</v>
      </c>
      <c r="K29">
        <f t="shared" si="5"/>
        <v>2.5707200002216268E-2</v>
      </c>
      <c r="N29">
        <f>+G29</f>
        <v>2.5707200002216268E-2</v>
      </c>
      <c r="O29">
        <f t="shared" ca="1" si="2"/>
        <v>2.764666036973432E-2</v>
      </c>
      <c r="Q29" s="2">
        <f t="shared" si="3"/>
        <v>39187.083250000003</v>
      </c>
      <c r="R29" s="2"/>
      <c r="S29" s="2"/>
      <c r="T29" s="2"/>
      <c r="U29" s="57"/>
    </row>
    <row r="30" spans="1:21" x14ac:dyDescent="0.2">
      <c r="A30" s="36" t="s">
        <v>43</v>
      </c>
      <c r="B30" s="37" t="s">
        <v>30</v>
      </c>
      <c r="C30" s="77">
        <v>54645.464619999999</v>
      </c>
      <c r="D30" s="38">
        <v>5.9999999999999995E-4</v>
      </c>
      <c r="E30">
        <f t="shared" si="0"/>
        <v>22411.033557853156</v>
      </c>
      <c r="F30">
        <f t="shared" si="1"/>
        <v>22411</v>
      </c>
      <c r="G30">
        <f t="shared" si="4"/>
        <v>2.8830800001742318E-2</v>
      </c>
      <c r="K30">
        <f t="shared" si="5"/>
        <v>2.8830800001742318E-2</v>
      </c>
      <c r="N30">
        <f>+G30</f>
        <v>2.8830800001742318E-2</v>
      </c>
      <c r="O30">
        <f t="shared" ca="1" si="2"/>
        <v>2.844519613442319E-2</v>
      </c>
      <c r="Q30" s="2">
        <f t="shared" si="3"/>
        <v>39626.964619999999</v>
      </c>
      <c r="R30" s="2"/>
      <c r="S30" s="2"/>
      <c r="T30" s="2"/>
      <c r="U30" s="57"/>
    </row>
    <row r="31" spans="1:21" x14ac:dyDescent="0.2">
      <c r="A31" s="55" t="s">
        <v>109</v>
      </c>
      <c r="B31" s="56" t="s">
        <v>30</v>
      </c>
      <c r="C31" s="70">
        <v>54937.5723</v>
      </c>
      <c r="D31" s="55" t="s">
        <v>62</v>
      </c>
      <c r="E31">
        <f t="shared" si="0"/>
        <v>22751.034759058275</v>
      </c>
      <c r="F31">
        <f t="shared" si="1"/>
        <v>22751</v>
      </c>
      <c r="G31">
        <f t="shared" si="4"/>
        <v>2.9862800001865253E-2</v>
      </c>
      <c r="K31">
        <f t="shared" si="5"/>
        <v>2.9862800001865253E-2</v>
      </c>
      <c r="O31">
        <f t="shared" ca="1" si="2"/>
        <v>2.8975473790661895E-2</v>
      </c>
      <c r="Q31" s="2">
        <f t="shared" si="3"/>
        <v>39919.0723</v>
      </c>
      <c r="R31" s="2"/>
      <c r="S31" s="2"/>
      <c r="T31" s="2"/>
      <c r="U31" s="57"/>
    </row>
    <row r="32" spans="1:21" x14ac:dyDescent="0.2">
      <c r="A32" s="55" t="s">
        <v>109</v>
      </c>
      <c r="B32" s="56" t="s">
        <v>30</v>
      </c>
      <c r="C32" s="70">
        <v>55060.431799999998</v>
      </c>
      <c r="D32" s="55" t="s">
        <v>62</v>
      </c>
      <c r="E32">
        <f t="shared" si="0"/>
        <v>22894.038111724181</v>
      </c>
      <c r="F32">
        <f t="shared" si="1"/>
        <v>22894</v>
      </c>
      <c r="G32">
        <f t="shared" si="4"/>
        <v>3.2743199997639749E-2</v>
      </c>
      <c r="K32">
        <f t="shared" si="5"/>
        <v>3.2743199997639749E-2</v>
      </c>
      <c r="O32">
        <f t="shared" ca="1" si="2"/>
        <v>2.9198502334315233E-2</v>
      </c>
      <c r="Q32" s="2">
        <f t="shared" si="3"/>
        <v>40041.931799999998</v>
      </c>
      <c r="R32" s="2"/>
      <c r="S32" s="2"/>
      <c r="T32" s="2"/>
      <c r="U32" s="57"/>
    </row>
    <row r="33" spans="1:21" x14ac:dyDescent="0.2">
      <c r="A33" s="36" t="s">
        <v>46</v>
      </c>
      <c r="B33" s="37" t="s">
        <v>34</v>
      </c>
      <c r="C33" s="77">
        <v>55063.435749999997</v>
      </c>
      <c r="D33" s="38">
        <v>6.9999999999999999E-4</v>
      </c>
      <c r="E33">
        <f t="shared" si="0"/>
        <v>22897.534584697296</v>
      </c>
      <c r="F33">
        <f t="shared" si="1"/>
        <v>22897.5</v>
      </c>
      <c r="G33">
        <f t="shared" si="4"/>
        <v>2.9712999996263534E-2</v>
      </c>
      <c r="K33">
        <f t="shared" si="5"/>
        <v>2.9712999996263534E-2</v>
      </c>
      <c r="O33">
        <f t="shared" ca="1" si="2"/>
        <v>2.9203961074894164E-2</v>
      </c>
      <c r="Q33" s="2">
        <f t="shared" si="3"/>
        <v>40044.935749999997</v>
      </c>
      <c r="R33" s="2"/>
      <c r="S33" s="2"/>
      <c r="T33" s="2"/>
      <c r="U33" s="57"/>
    </row>
    <row r="34" spans="1:21" x14ac:dyDescent="0.2">
      <c r="A34" s="36" t="s">
        <v>46</v>
      </c>
      <c r="B34" s="37" t="s">
        <v>30</v>
      </c>
      <c r="C34" s="77">
        <v>55377.451220000003</v>
      </c>
      <c r="D34" s="38">
        <v>2.9999999999999997E-4</v>
      </c>
      <c r="E34">
        <f t="shared" si="0"/>
        <v>23263.035543100686</v>
      </c>
      <c r="F34">
        <f t="shared" si="1"/>
        <v>23263</v>
      </c>
      <c r="G34">
        <f t="shared" si="4"/>
        <v>3.0536400008713827E-2</v>
      </c>
      <c r="K34">
        <f t="shared" si="5"/>
        <v>3.0536400008713827E-2</v>
      </c>
      <c r="O34">
        <f t="shared" ca="1" si="2"/>
        <v>2.9774009555350766E-2</v>
      </c>
      <c r="Q34" s="2">
        <f t="shared" si="3"/>
        <v>40358.951220000003</v>
      </c>
      <c r="R34" s="2"/>
      <c r="S34" s="2"/>
      <c r="T34" s="2"/>
    </row>
    <row r="35" spans="1:21" x14ac:dyDescent="0.2">
      <c r="A35" s="36" t="s">
        <v>46</v>
      </c>
      <c r="B35" s="37" t="s">
        <v>34</v>
      </c>
      <c r="C35" s="77">
        <v>55386.465510000002</v>
      </c>
      <c r="D35" s="38">
        <v>5.0000000000000001E-4</v>
      </c>
      <c r="E35">
        <f t="shared" si="0"/>
        <v>23273.527802078646</v>
      </c>
      <c r="F35">
        <f t="shared" si="1"/>
        <v>23273.5</v>
      </c>
      <c r="G35">
        <f t="shared" si="4"/>
        <v>2.3885800001153257E-2</v>
      </c>
      <c r="K35">
        <f t="shared" si="5"/>
        <v>2.3885800001153257E-2</v>
      </c>
      <c r="O35">
        <f t="shared" ca="1" si="2"/>
        <v>2.9790385777087553E-2</v>
      </c>
      <c r="Q35" s="2">
        <f t="shared" si="3"/>
        <v>40367.965510000002</v>
      </c>
      <c r="R35" s="2"/>
      <c r="S35" s="2"/>
      <c r="T35" s="2"/>
    </row>
    <row r="36" spans="1:21" x14ac:dyDescent="0.2">
      <c r="A36" s="40" t="s">
        <v>51</v>
      </c>
      <c r="B36" s="40"/>
      <c r="C36" s="74">
        <v>55451.337</v>
      </c>
      <c r="D36" s="41">
        <v>2.8999999999999998E-3</v>
      </c>
      <c r="E36">
        <f t="shared" si="0"/>
        <v>23349.035520752681</v>
      </c>
      <c r="F36">
        <f t="shared" si="1"/>
        <v>23349</v>
      </c>
      <c r="G36">
        <f t="shared" si="4"/>
        <v>3.0517200000758749E-2</v>
      </c>
      <c r="J36">
        <f>+G36</f>
        <v>3.0517200000758749E-2</v>
      </c>
      <c r="O36">
        <f t="shared" ca="1" si="2"/>
        <v>2.9908138609575852E-2</v>
      </c>
      <c r="Q36" s="2">
        <f t="shared" si="3"/>
        <v>40432.837</v>
      </c>
      <c r="R36" s="2"/>
      <c r="S36" s="2"/>
      <c r="T36" s="2"/>
      <c r="U36" s="57"/>
    </row>
    <row r="37" spans="1:21" x14ac:dyDescent="0.2">
      <c r="A37" s="10" t="s">
        <v>47</v>
      </c>
      <c r="B37" s="39" t="s">
        <v>30</v>
      </c>
      <c r="C37" s="75">
        <v>55712.516600000003</v>
      </c>
      <c r="D37" s="10">
        <v>1.6999999999999999E-3</v>
      </c>
      <c r="E37">
        <f t="shared" si="0"/>
        <v>23653.037722030898</v>
      </c>
      <c r="F37">
        <f t="shared" si="1"/>
        <v>23653</v>
      </c>
      <c r="G37">
        <f t="shared" si="4"/>
        <v>3.2408400002168491E-2</v>
      </c>
      <c r="J37">
        <f>+G37</f>
        <v>3.2408400002168491E-2</v>
      </c>
      <c r="O37">
        <f t="shared" ca="1" si="2"/>
        <v>3.0382269219859866E-2</v>
      </c>
      <c r="Q37" s="2">
        <f t="shared" si="3"/>
        <v>40694.016600000003</v>
      </c>
      <c r="R37" s="2"/>
      <c r="S37" s="2"/>
      <c r="T37" s="2"/>
      <c r="U37" s="57"/>
    </row>
    <row r="38" spans="1:21" x14ac:dyDescent="0.2">
      <c r="A38" s="31" t="s">
        <v>48</v>
      </c>
      <c r="B38" s="32" t="s">
        <v>30</v>
      </c>
      <c r="C38" s="76">
        <v>56133.502999999997</v>
      </c>
      <c r="D38" s="33">
        <v>1.6999999999999999E-3</v>
      </c>
      <c r="E38">
        <f t="shared" si="0"/>
        <v>24143.048397857754</v>
      </c>
      <c r="F38">
        <f t="shared" si="1"/>
        <v>24143</v>
      </c>
      <c r="O38">
        <f t="shared" ca="1" si="2"/>
        <v>3.1146492900909765E-2</v>
      </c>
      <c r="Q38" s="2">
        <f t="shared" si="3"/>
        <v>41115.002999999997</v>
      </c>
      <c r="R38" s="2"/>
      <c r="S38" s="2"/>
      <c r="T38" s="2"/>
      <c r="U38" s="57">
        <f>+C38-(C$7+F38*C$8)</f>
        <v>4.1580399993108585E-2</v>
      </c>
    </row>
    <row r="39" spans="1:21" x14ac:dyDescent="0.2">
      <c r="B39" s="4"/>
      <c r="D39" s="4"/>
    </row>
    <row r="40" spans="1:21" x14ac:dyDescent="0.2">
      <c r="B40" s="4"/>
      <c r="D40" s="4"/>
    </row>
    <row r="41" spans="1:21" x14ac:dyDescent="0.2">
      <c r="D41" s="4"/>
    </row>
    <row r="42" spans="1:21" x14ac:dyDescent="0.2">
      <c r="D42" s="4"/>
    </row>
    <row r="43" spans="1:21" x14ac:dyDescent="0.2">
      <c r="D43" s="4"/>
    </row>
    <row r="44" spans="1:21" x14ac:dyDescent="0.2">
      <c r="D44" s="4"/>
    </row>
    <row r="45" spans="1:21" x14ac:dyDescent="0.2">
      <c r="D45" s="4"/>
    </row>
    <row r="46" spans="1:21" x14ac:dyDescent="0.2">
      <c r="D46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5"/>
  <sheetViews>
    <sheetView topLeftCell="A5" workbookViewId="0">
      <selection activeCell="A20" sqref="A20:D27"/>
    </sheetView>
  </sheetViews>
  <sheetFormatPr defaultRowHeight="12.75" x14ac:dyDescent="0.2"/>
  <cols>
    <col min="1" max="1" width="19.7109375" style="15" customWidth="1"/>
    <col min="2" max="2" width="4.42578125" style="9" customWidth="1"/>
    <col min="3" max="3" width="12.7109375" style="15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5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42" t="s">
        <v>52</v>
      </c>
      <c r="I1" s="43" t="s">
        <v>53</v>
      </c>
      <c r="J1" s="44" t="s">
        <v>54</v>
      </c>
    </row>
    <row r="2" spans="1:16" x14ac:dyDescent="0.2">
      <c r="I2" s="45" t="s">
        <v>55</v>
      </c>
      <c r="J2" s="46" t="s">
        <v>56</v>
      </c>
    </row>
    <row r="3" spans="1:16" x14ac:dyDescent="0.2">
      <c r="A3" s="47" t="s">
        <v>57</v>
      </c>
      <c r="I3" s="45" t="s">
        <v>58</v>
      </c>
      <c r="J3" s="46" t="s">
        <v>59</v>
      </c>
    </row>
    <row r="4" spans="1:16" x14ac:dyDescent="0.2">
      <c r="I4" s="45" t="s">
        <v>60</v>
      </c>
      <c r="J4" s="46" t="s">
        <v>59</v>
      </c>
    </row>
    <row r="5" spans="1:16" ht="13.5" thickBot="1" x14ac:dyDescent="0.25">
      <c r="I5" s="48" t="s">
        <v>61</v>
      </c>
      <c r="J5" s="49" t="s">
        <v>62</v>
      </c>
    </row>
    <row r="10" spans="1:16" ht="13.5" thickBot="1" x14ac:dyDescent="0.25"/>
    <row r="11" spans="1:16" ht="12.75" customHeight="1" thickBot="1" x14ac:dyDescent="0.25">
      <c r="A11" s="15" t="str">
        <f t="shared" ref="A11:A27" si="0">P11</f>
        <v>IBVS 5263 </v>
      </c>
      <c r="B11" s="4" t="str">
        <f t="shared" ref="B11:B27" si="1">IF(H11=INT(H11),"I","II")</f>
        <v>I</v>
      </c>
      <c r="C11" s="15">
        <f t="shared" ref="C11:C27" si="2">1*G11</f>
        <v>51284.515099999997</v>
      </c>
      <c r="D11" s="9" t="str">
        <f t="shared" ref="D11:D27" si="3">VLOOKUP(F11,I$1:J$5,2,FALSE)</f>
        <v>vis</v>
      </c>
      <c r="E11" s="50">
        <f>VLOOKUP(C11,Active!C$21:E$967,3,FALSE)</f>
        <v>18499.02797830195</v>
      </c>
      <c r="F11" s="4" t="s">
        <v>61</v>
      </c>
      <c r="G11" s="9" t="str">
        <f t="shared" ref="G11:G27" si="4">MID(I11,3,LEN(I11)-3)</f>
        <v>51284.5151</v>
      </c>
      <c r="H11" s="15">
        <f t="shared" ref="H11:H27" si="5">1*K11</f>
        <v>18499</v>
      </c>
      <c r="I11" s="51" t="s">
        <v>63</v>
      </c>
      <c r="J11" s="52" t="s">
        <v>64</v>
      </c>
      <c r="K11" s="51">
        <v>18499</v>
      </c>
      <c r="L11" s="51" t="s">
        <v>65</v>
      </c>
      <c r="M11" s="52" t="s">
        <v>66</v>
      </c>
      <c r="N11" s="52" t="s">
        <v>67</v>
      </c>
      <c r="O11" s="53" t="s">
        <v>68</v>
      </c>
      <c r="P11" s="54" t="s">
        <v>69</v>
      </c>
    </row>
    <row r="12" spans="1:16" ht="12.75" customHeight="1" thickBot="1" x14ac:dyDescent="0.25">
      <c r="A12" s="15" t="str">
        <f t="shared" si="0"/>
        <v> BBS 124 </v>
      </c>
      <c r="B12" s="4" t="str">
        <f t="shared" si="1"/>
        <v>I</v>
      </c>
      <c r="C12" s="15">
        <f t="shared" si="2"/>
        <v>51877.292000000001</v>
      </c>
      <c r="D12" s="9" t="str">
        <f t="shared" si="3"/>
        <v>vis</v>
      </c>
      <c r="E12" s="50">
        <f>VLOOKUP(C12,Active!C$21:E$967,3,FALSE)</f>
        <v>19188.995657503834</v>
      </c>
      <c r="F12" s="4" t="s">
        <v>61</v>
      </c>
      <c r="G12" s="9" t="str">
        <f t="shared" si="4"/>
        <v>51877.292</v>
      </c>
      <c r="H12" s="15">
        <f t="shared" si="5"/>
        <v>19189</v>
      </c>
      <c r="I12" s="51" t="s">
        <v>70</v>
      </c>
      <c r="J12" s="52" t="s">
        <v>71</v>
      </c>
      <c r="K12" s="51">
        <v>19189</v>
      </c>
      <c r="L12" s="51" t="s">
        <v>72</v>
      </c>
      <c r="M12" s="52" t="s">
        <v>66</v>
      </c>
      <c r="N12" s="52" t="s">
        <v>67</v>
      </c>
      <c r="O12" s="53" t="s">
        <v>73</v>
      </c>
      <c r="P12" s="53" t="s">
        <v>74</v>
      </c>
    </row>
    <row r="13" spans="1:16" ht="12.75" customHeight="1" thickBot="1" x14ac:dyDescent="0.25">
      <c r="A13" s="15" t="str">
        <f t="shared" si="0"/>
        <v>BAVM 172 </v>
      </c>
      <c r="B13" s="4" t="str">
        <f t="shared" si="1"/>
        <v>I</v>
      </c>
      <c r="C13" s="15">
        <f t="shared" si="2"/>
        <v>52815.497799999997</v>
      </c>
      <c r="D13" s="9" t="str">
        <f t="shared" si="3"/>
        <v>vis</v>
      </c>
      <c r="E13" s="50">
        <f>VLOOKUP(C13,Active!C$21:E$967,3,FALSE)</f>
        <v>20281.02822226764</v>
      </c>
      <c r="F13" s="4" t="s">
        <v>61</v>
      </c>
      <c r="G13" s="9" t="str">
        <f t="shared" si="4"/>
        <v>52815.4978</v>
      </c>
      <c r="H13" s="15">
        <f t="shared" si="5"/>
        <v>20281</v>
      </c>
      <c r="I13" s="51" t="s">
        <v>75</v>
      </c>
      <c r="J13" s="52" t="s">
        <v>76</v>
      </c>
      <c r="K13" s="51">
        <v>20281</v>
      </c>
      <c r="L13" s="51" t="s">
        <v>77</v>
      </c>
      <c r="M13" s="52" t="s">
        <v>66</v>
      </c>
      <c r="N13" s="52" t="s">
        <v>78</v>
      </c>
      <c r="O13" s="53" t="s">
        <v>79</v>
      </c>
      <c r="P13" s="54" t="s">
        <v>80</v>
      </c>
    </row>
    <row r="14" spans="1:16" ht="12.75" customHeight="1" thickBot="1" x14ac:dyDescent="0.25">
      <c r="A14" s="15" t="str">
        <f t="shared" si="0"/>
        <v>IBVS 5690 </v>
      </c>
      <c r="B14" s="4" t="str">
        <f t="shared" si="1"/>
        <v>I</v>
      </c>
      <c r="C14" s="15">
        <f t="shared" si="2"/>
        <v>53302.630899999996</v>
      </c>
      <c r="D14" s="9" t="str">
        <f t="shared" si="3"/>
        <v>vis</v>
      </c>
      <c r="E14" s="50">
        <f>VLOOKUP(C14,Active!C$21:E$967,3,FALSE)</f>
        <v>20848.030908218148</v>
      </c>
      <c r="F14" s="4" t="s">
        <v>61</v>
      </c>
      <c r="G14" s="9" t="str">
        <f t="shared" si="4"/>
        <v>53302.6309</v>
      </c>
      <c r="H14" s="15">
        <f t="shared" si="5"/>
        <v>20848</v>
      </c>
      <c r="I14" s="51" t="s">
        <v>81</v>
      </c>
      <c r="J14" s="52" t="s">
        <v>82</v>
      </c>
      <c r="K14" s="51">
        <v>20848</v>
      </c>
      <c r="L14" s="51" t="s">
        <v>83</v>
      </c>
      <c r="M14" s="52" t="s">
        <v>66</v>
      </c>
      <c r="N14" s="52" t="s">
        <v>67</v>
      </c>
      <c r="O14" s="53" t="s">
        <v>84</v>
      </c>
      <c r="P14" s="54" t="s">
        <v>85</v>
      </c>
    </row>
    <row r="15" spans="1:16" ht="12.75" customHeight="1" thickBot="1" x14ac:dyDescent="0.25">
      <c r="A15" s="15" t="str">
        <f t="shared" si="0"/>
        <v>IBVS 5690 </v>
      </c>
      <c r="B15" s="4" t="str">
        <f t="shared" si="1"/>
        <v>II</v>
      </c>
      <c r="C15" s="15">
        <f t="shared" si="2"/>
        <v>53336.561999999998</v>
      </c>
      <c r="D15" s="9" t="str">
        <f t="shared" si="3"/>
        <v>vis</v>
      </c>
      <c r="E15" s="50">
        <f>VLOOKUP(C15,Active!C$21:E$967,3,FALSE)</f>
        <v>20887.525298636818</v>
      </c>
      <c r="F15" s="4" t="s">
        <v>61</v>
      </c>
      <c r="G15" s="9" t="str">
        <f t="shared" si="4"/>
        <v>53336.5620</v>
      </c>
      <c r="H15" s="15">
        <f t="shared" si="5"/>
        <v>20887.5</v>
      </c>
      <c r="I15" s="51" t="s">
        <v>86</v>
      </c>
      <c r="J15" s="52" t="s">
        <v>87</v>
      </c>
      <c r="K15" s="51">
        <v>20887.5</v>
      </c>
      <c r="L15" s="51" t="s">
        <v>88</v>
      </c>
      <c r="M15" s="52" t="s">
        <v>66</v>
      </c>
      <c r="N15" s="52" t="s">
        <v>67</v>
      </c>
      <c r="O15" s="53" t="s">
        <v>84</v>
      </c>
      <c r="P15" s="54" t="s">
        <v>85</v>
      </c>
    </row>
    <row r="16" spans="1:16" ht="12.75" customHeight="1" thickBot="1" x14ac:dyDescent="0.25">
      <c r="A16" s="15" t="str">
        <f t="shared" si="0"/>
        <v>IBVS 5690 </v>
      </c>
      <c r="B16" s="4" t="str">
        <f t="shared" si="1"/>
        <v>I</v>
      </c>
      <c r="C16" s="15">
        <f t="shared" si="2"/>
        <v>53339.574999999997</v>
      </c>
      <c r="D16" s="9" t="str">
        <f t="shared" si="3"/>
        <v>vis</v>
      </c>
      <c r="E16" s="50">
        <f>VLOOKUP(C16,Active!C$21:E$967,3,FALSE)</f>
        <v>20891.03230543387</v>
      </c>
      <c r="F16" s="4" t="s">
        <v>61</v>
      </c>
      <c r="G16" s="9" t="str">
        <f t="shared" si="4"/>
        <v>53339.5750</v>
      </c>
      <c r="H16" s="15">
        <f t="shared" si="5"/>
        <v>20891</v>
      </c>
      <c r="I16" s="51" t="s">
        <v>89</v>
      </c>
      <c r="J16" s="52" t="s">
        <v>90</v>
      </c>
      <c r="K16" s="51">
        <v>20891</v>
      </c>
      <c r="L16" s="51" t="s">
        <v>91</v>
      </c>
      <c r="M16" s="52" t="s">
        <v>66</v>
      </c>
      <c r="N16" s="52" t="s">
        <v>67</v>
      </c>
      <c r="O16" s="53" t="s">
        <v>84</v>
      </c>
      <c r="P16" s="54" t="s">
        <v>85</v>
      </c>
    </row>
    <row r="17" spans="1:16" ht="12.75" customHeight="1" thickBot="1" x14ac:dyDescent="0.25">
      <c r="A17" s="15" t="str">
        <f t="shared" si="0"/>
        <v>BAVM 215 </v>
      </c>
      <c r="B17" s="4" t="str">
        <f t="shared" si="1"/>
        <v>I</v>
      </c>
      <c r="C17" s="15">
        <f t="shared" si="2"/>
        <v>55451.337</v>
      </c>
      <c r="D17" s="9" t="str">
        <f t="shared" si="3"/>
        <v>vis</v>
      </c>
      <c r="E17" s="50">
        <f>VLOOKUP(C17,Active!C$21:E$967,3,FALSE)</f>
        <v>23349.035520752681</v>
      </c>
      <c r="F17" s="4" t="s">
        <v>61</v>
      </c>
      <c r="G17" s="9" t="str">
        <f t="shared" si="4"/>
        <v>55451.3370</v>
      </c>
      <c r="H17" s="15">
        <f t="shared" si="5"/>
        <v>23349</v>
      </c>
      <c r="I17" s="51" t="s">
        <v>128</v>
      </c>
      <c r="J17" s="52" t="s">
        <v>129</v>
      </c>
      <c r="K17" s="51" t="s">
        <v>130</v>
      </c>
      <c r="L17" s="51" t="s">
        <v>123</v>
      </c>
      <c r="M17" s="52" t="s">
        <v>95</v>
      </c>
      <c r="N17" s="52" t="s">
        <v>113</v>
      </c>
      <c r="O17" s="53" t="s">
        <v>114</v>
      </c>
      <c r="P17" s="54" t="s">
        <v>131</v>
      </c>
    </row>
    <row r="18" spans="1:16" ht="12.75" customHeight="1" thickBot="1" x14ac:dyDescent="0.25">
      <c r="A18" s="15" t="str">
        <f t="shared" si="0"/>
        <v>BAVM 220 </v>
      </c>
      <c r="B18" s="4" t="str">
        <f t="shared" si="1"/>
        <v>I</v>
      </c>
      <c r="C18" s="15">
        <f t="shared" si="2"/>
        <v>55712.516600000003</v>
      </c>
      <c r="D18" s="9" t="str">
        <f t="shared" si="3"/>
        <v>vis</v>
      </c>
      <c r="E18" s="50">
        <f>VLOOKUP(C18,Active!C$21:E$967,3,FALSE)</f>
        <v>23653.037722030898</v>
      </c>
      <c r="F18" s="4" t="s">
        <v>61</v>
      </c>
      <c r="G18" s="9" t="str">
        <f t="shared" si="4"/>
        <v>55712.5166</v>
      </c>
      <c r="H18" s="15">
        <f t="shared" si="5"/>
        <v>23653</v>
      </c>
      <c r="I18" s="51" t="s">
        <v>132</v>
      </c>
      <c r="J18" s="52" t="s">
        <v>133</v>
      </c>
      <c r="K18" s="51" t="s">
        <v>134</v>
      </c>
      <c r="L18" s="51" t="s">
        <v>135</v>
      </c>
      <c r="M18" s="52" t="s">
        <v>95</v>
      </c>
      <c r="N18" s="52" t="s">
        <v>113</v>
      </c>
      <c r="O18" s="53" t="s">
        <v>114</v>
      </c>
      <c r="P18" s="54" t="s">
        <v>136</v>
      </c>
    </row>
    <row r="19" spans="1:16" ht="12.75" customHeight="1" thickBot="1" x14ac:dyDescent="0.25">
      <c r="A19" s="15" t="str">
        <f t="shared" si="0"/>
        <v>BAVM 228 </v>
      </c>
      <c r="B19" s="4" t="str">
        <f t="shared" si="1"/>
        <v>I</v>
      </c>
      <c r="C19" s="15">
        <f t="shared" si="2"/>
        <v>56133.502999999997</v>
      </c>
      <c r="D19" s="9" t="str">
        <f t="shared" si="3"/>
        <v>vis</v>
      </c>
      <c r="E19" s="50">
        <f>VLOOKUP(C19,Active!C$21:E$967,3,FALSE)</f>
        <v>24143.048397857754</v>
      </c>
      <c r="F19" s="4" t="s">
        <v>61</v>
      </c>
      <c r="G19" s="9" t="str">
        <f t="shared" si="4"/>
        <v>56133.5030</v>
      </c>
      <c r="H19" s="15">
        <f t="shared" si="5"/>
        <v>24143</v>
      </c>
      <c r="I19" s="51" t="s">
        <v>137</v>
      </c>
      <c r="J19" s="52" t="s">
        <v>138</v>
      </c>
      <c r="K19" s="51" t="s">
        <v>139</v>
      </c>
      <c r="L19" s="51" t="s">
        <v>140</v>
      </c>
      <c r="M19" s="52" t="s">
        <v>95</v>
      </c>
      <c r="N19" s="52" t="s">
        <v>78</v>
      </c>
      <c r="O19" s="53" t="s">
        <v>141</v>
      </c>
      <c r="P19" s="54" t="s">
        <v>142</v>
      </c>
    </row>
    <row r="20" spans="1:16" ht="12.75" customHeight="1" thickBot="1" x14ac:dyDescent="0.25">
      <c r="A20" s="15" t="str">
        <f t="shared" si="0"/>
        <v>IBVS 5806 </v>
      </c>
      <c r="B20" s="4" t="str">
        <f t="shared" si="1"/>
        <v>I</v>
      </c>
      <c r="C20" s="15">
        <f t="shared" si="2"/>
        <v>53941.83</v>
      </c>
      <c r="D20" s="9" t="str">
        <f t="shared" si="3"/>
        <v>vis</v>
      </c>
      <c r="E20" s="50" t="e">
        <f>VLOOKUP(C20,Active!C$21:E$967,3,FALSE)</f>
        <v>#N/A</v>
      </c>
      <c r="F20" s="4" t="s">
        <v>61</v>
      </c>
      <c r="G20" s="9" t="str">
        <f t="shared" si="4"/>
        <v>53941.8300</v>
      </c>
      <c r="H20" s="15">
        <f t="shared" si="5"/>
        <v>21592</v>
      </c>
      <c r="I20" s="51" t="s">
        <v>92</v>
      </c>
      <c r="J20" s="52" t="s">
        <v>93</v>
      </c>
      <c r="K20" s="51">
        <v>21592</v>
      </c>
      <c r="L20" s="51" t="s">
        <v>94</v>
      </c>
      <c r="M20" s="52" t="s">
        <v>95</v>
      </c>
      <c r="N20" s="52" t="s">
        <v>78</v>
      </c>
      <c r="O20" s="53" t="s">
        <v>84</v>
      </c>
      <c r="P20" s="54" t="s">
        <v>96</v>
      </c>
    </row>
    <row r="21" spans="1:16" ht="12.75" customHeight="1" thickBot="1" x14ac:dyDescent="0.25">
      <c r="A21" s="15" t="str">
        <f t="shared" si="0"/>
        <v>OEJV 0107 </v>
      </c>
      <c r="B21" s="4" t="str">
        <f t="shared" si="1"/>
        <v>I</v>
      </c>
      <c r="C21" s="15">
        <f t="shared" si="2"/>
        <v>54205.583200000001</v>
      </c>
      <c r="D21" s="9" t="str">
        <f t="shared" si="3"/>
        <v>vis</v>
      </c>
      <c r="E21" s="50" t="e">
        <f>VLOOKUP(C21,Active!C$21:E$967,3,FALSE)</f>
        <v>#N/A</v>
      </c>
      <c r="F21" s="4" t="s">
        <v>61</v>
      </c>
      <c r="G21" s="9" t="str">
        <f t="shared" si="4"/>
        <v>54205.5832</v>
      </c>
      <c r="H21" s="15">
        <f t="shared" si="5"/>
        <v>21899</v>
      </c>
      <c r="I21" s="51" t="s">
        <v>97</v>
      </c>
      <c r="J21" s="52" t="s">
        <v>98</v>
      </c>
      <c r="K21" s="51">
        <v>21899</v>
      </c>
      <c r="L21" s="51" t="s">
        <v>99</v>
      </c>
      <c r="M21" s="52" t="s">
        <v>95</v>
      </c>
      <c r="N21" s="52" t="s">
        <v>100</v>
      </c>
      <c r="O21" s="53" t="s">
        <v>101</v>
      </c>
      <c r="P21" s="54" t="s">
        <v>102</v>
      </c>
    </row>
    <row r="22" spans="1:16" ht="12.75" customHeight="1" thickBot="1" x14ac:dyDescent="0.25">
      <c r="A22" s="15" t="str">
        <f t="shared" si="0"/>
        <v>OEJV 0107 </v>
      </c>
      <c r="B22" s="4" t="str">
        <f t="shared" si="1"/>
        <v>I</v>
      </c>
      <c r="C22" s="15">
        <f t="shared" si="2"/>
        <v>54645.464599999999</v>
      </c>
      <c r="D22" s="9" t="str">
        <f t="shared" si="3"/>
        <v>vis</v>
      </c>
      <c r="E22" s="50" t="e">
        <f>VLOOKUP(C22,Active!C$21:E$967,3,FALSE)</f>
        <v>#N/A</v>
      </c>
      <c r="F22" s="4" t="s">
        <v>61</v>
      </c>
      <c r="G22" s="9" t="str">
        <f t="shared" si="4"/>
        <v>54645.4646</v>
      </c>
      <c r="H22" s="15">
        <f t="shared" si="5"/>
        <v>22411</v>
      </c>
      <c r="I22" s="51" t="s">
        <v>103</v>
      </c>
      <c r="J22" s="52" t="s">
        <v>104</v>
      </c>
      <c r="K22" s="51">
        <v>22411</v>
      </c>
      <c r="L22" s="51" t="s">
        <v>105</v>
      </c>
      <c r="M22" s="52" t="s">
        <v>95</v>
      </c>
      <c r="N22" s="52" t="s">
        <v>100</v>
      </c>
      <c r="O22" s="53" t="s">
        <v>101</v>
      </c>
      <c r="P22" s="54" t="s">
        <v>102</v>
      </c>
    </row>
    <row r="23" spans="1:16" ht="12.75" customHeight="1" thickBot="1" x14ac:dyDescent="0.25">
      <c r="A23" s="15" t="str">
        <f t="shared" si="0"/>
        <v>BAVM 212 </v>
      </c>
      <c r="B23" s="4" t="str">
        <f t="shared" si="1"/>
        <v>I</v>
      </c>
      <c r="C23" s="15">
        <f t="shared" si="2"/>
        <v>54937.5723</v>
      </c>
      <c r="D23" s="9" t="str">
        <f t="shared" si="3"/>
        <v>vis</v>
      </c>
      <c r="E23" s="50">
        <f>VLOOKUP(C23,Active!C$21:E$967,3,FALSE)</f>
        <v>22751.034759058275</v>
      </c>
      <c r="F23" s="4" t="s">
        <v>61</v>
      </c>
      <c r="G23" s="9" t="str">
        <f t="shared" si="4"/>
        <v>54937.5723</v>
      </c>
      <c r="H23" s="15">
        <f t="shared" si="5"/>
        <v>22751</v>
      </c>
      <c r="I23" s="51" t="s">
        <v>106</v>
      </c>
      <c r="J23" s="52" t="s">
        <v>107</v>
      </c>
      <c r="K23" s="51">
        <v>22751</v>
      </c>
      <c r="L23" s="51" t="s">
        <v>108</v>
      </c>
      <c r="M23" s="52" t="s">
        <v>95</v>
      </c>
      <c r="N23" s="52" t="s">
        <v>78</v>
      </c>
      <c r="O23" s="53" t="s">
        <v>79</v>
      </c>
      <c r="P23" s="54" t="s">
        <v>109</v>
      </c>
    </row>
    <row r="24" spans="1:16" ht="12.75" customHeight="1" thickBot="1" x14ac:dyDescent="0.25">
      <c r="A24" s="15" t="str">
        <f t="shared" si="0"/>
        <v>BAVM 212 </v>
      </c>
      <c r="B24" s="4" t="str">
        <f t="shared" si="1"/>
        <v>I</v>
      </c>
      <c r="C24" s="15">
        <f t="shared" si="2"/>
        <v>55060.431799999998</v>
      </c>
      <c r="D24" s="9" t="str">
        <f t="shared" si="3"/>
        <v>vis</v>
      </c>
      <c r="E24" s="50">
        <f>VLOOKUP(C24,Active!C$21:E$967,3,FALSE)</f>
        <v>22894.038111724181</v>
      </c>
      <c r="F24" s="4" t="s">
        <v>61</v>
      </c>
      <c r="G24" s="9" t="str">
        <f t="shared" si="4"/>
        <v>55060.4318</v>
      </c>
      <c r="H24" s="15">
        <f t="shared" si="5"/>
        <v>22894</v>
      </c>
      <c r="I24" s="51" t="s">
        <v>110</v>
      </c>
      <c r="J24" s="52" t="s">
        <v>111</v>
      </c>
      <c r="K24" s="51">
        <v>22894</v>
      </c>
      <c r="L24" s="51" t="s">
        <v>112</v>
      </c>
      <c r="M24" s="52" t="s">
        <v>95</v>
      </c>
      <c r="N24" s="52" t="s">
        <v>113</v>
      </c>
      <c r="O24" s="53" t="s">
        <v>114</v>
      </c>
      <c r="P24" s="54" t="s">
        <v>109</v>
      </c>
    </row>
    <row r="25" spans="1:16" ht="12.75" customHeight="1" thickBot="1" x14ac:dyDescent="0.25">
      <c r="A25" s="15" t="str">
        <f t="shared" si="0"/>
        <v>OEJV 0137 </v>
      </c>
      <c r="B25" s="4" t="str">
        <f t="shared" si="1"/>
        <v>II</v>
      </c>
      <c r="C25" s="15">
        <f t="shared" si="2"/>
        <v>55063.435700000002</v>
      </c>
      <c r="D25" s="9" t="str">
        <f t="shared" si="3"/>
        <v>vis</v>
      </c>
      <c r="E25" s="50" t="e">
        <f>VLOOKUP(C25,Active!C$21:E$967,3,FALSE)</f>
        <v>#N/A</v>
      </c>
      <c r="F25" s="4" t="s">
        <v>61</v>
      </c>
      <c r="G25" s="9" t="str">
        <f t="shared" si="4"/>
        <v>55063.4357</v>
      </c>
      <c r="H25" s="15">
        <f t="shared" si="5"/>
        <v>22897.5</v>
      </c>
      <c r="I25" s="51" t="s">
        <v>115</v>
      </c>
      <c r="J25" s="52" t="s">
        <v>116</v>
      </c>
      <c r="K25" s="51" t="s">
        <v>117</v>
      </c>
      <c r="L25" s="51" t="s">
        <v>118</v>
      </c>
      <c r="M25" s="52" t="s">
        <v>95</v>
      </c>
      <c r="N25" s="52" t="s">
        <v>100</v>
      </c>
      <c r="O25" s="53" t="s">
        <v>101</v>
      </c>
      <c r="P25" s="54" t="s">
        <v>119</v>
      </c>
    </row>
    <row r="26" spans="1:16" ht="12.75" customHeight="1" thickBot="1" x14ac:dyDescent="0.25">
      <c r="A26" s="15" t="str">
        <f t="shared" si="0"/>
        <v>OEJV 0137 </v>
      </c>
      <c r="B26" s="4" t="str">
        <f t="shared" si="1"/>
        <v>I</v>
      </c>
      <c r="C26" s="15">
        <f t="shared" si="2"/>
        <v>55377.451200000003</v>
      </c>
      <c r="D26" s="9" t="str">
        <f t="shared" si="3"/>
        <v>vis</v>
      </c>
      <c r="E26" s="50" t="e">
        <f>VLOOKUP(C26,Active!C$21:E$967,3,FALSE)</f>
        <v>#N/A</v>
      </c>
      <c r="F26" s="4" t="s">
        <v>61</v>
      </c>
      <c r="G26" s="9" t="str">
        <f t="shared" si="4"/>
        <v>55377.4512</v>
      </c>
      <c r="H26" s="15">
        <f t="shared" si="5"/>
        <v>23263</v>
      </c>
      <c r="I26" s="51" t="s">
        <v>120</v>
      </c>
      <c r="J26" s="52" t="s">
        <v>121</v>
      </c>
      <c r="K26" s="51" t="s">
        <v>122</v>
      </c>
      <c r="L26" s="51" t="s">
        <v>123</v>
      </c>
      <c r="M26" s="52" t="s">
        <v>95</v>
      </c>
      <c r="N26" s="52" t="s">
        <v>100</v>
      </c>
      <c r="O26" s="53" t="s">
        <v>101</v>
      </c>
      <c r="P26" s="54" t="s">
        <v>119</v>
      </c>
    </row>
    <row r="27" spans="1:16" ht="12.75" customHeight="1" thickBot="1" x14ac:dyDescent="0.25">
      <c r="A27" s="15" t="str">
        <f t="shared" si="0"/>
        <v>OEJV 0137 </v>
      </c>
      <c r="B27" s="4" t="str">
        <f t="shared" si="1"/>
        <v>II</v>
      </c>
      <c r="C27" s="15">
        <f t="shared" si="2"/>
        <v>55386.465499999998</v>
      </c>
      <c r="D27" s="9" t="str">
        <f t="shared" si="3"/>
        <v>vis</v>
      </c>
      <c r="E27" s="50" t="e">
        <f>VLOOKUP(C27,Active!C$21:E$967,3,FALSE)</f>
        <v>#N/A</v>
      </c>
      <c r="F27" s="4" t="s">
        <v>61</v>
      </c>
      <c r="G27" s="9" t="str">
        <f t="shared" si="4"/>
        <v>55386.4655</v>
      </c>
      <c r="H27" s="15">
        <f t="shared" si="5"/>
        <v>23273.5</v>
      </c>
      <c r="I27" s="51" t="s">
        <v>124</v>
      </c>
      <c r="J27" s="52" t="s">
        <v>125</v>
      </c>
      <c r="K27" s="51" t="s">
        <v>126</v>
      </c>
      <c r="L27" s="51" t="s">
        <v>127</v>
      </c>
      <c r="M27" s="52" t="s">
        <v>95</v>
      </c>
      <c r="N27" s="52" t="s">
        <v>100</v>
      </c>
      <c r="O27" s="53" t="s">
        <v>101</v>
      </c>
      <c r="P27" s="54" t="s">
        <v>119</v>
      </c>
    </row>
    <row r="28" spans="1:16" x14ac:dyDescent="0.2">
      <c r="B28" s="4"/>
      <c r="F28" s="4"/>
    </row>
    <row r="29" spans="1:16" x14ac:dyDescent="0.2">
      <c r="B29" s="4"/>
      <c r="F29" s="4"/>
    </row>
    <row r="30" spans="1:16" x14ac:dyDescent="0.2">
      <c r="B30" s="4"/>
      <c r="F30" s="4"/>
    </row>
    <row r="31" spans="1:16" x14ac:dyDescent="0.2">
      <c r="B31" s="4"/>
      <c r="F31" s="4"/>
    </row>
    <row r="32" spans="1:16" x14ac:dyDescent="0.2">
      <c r="B32" s="4"/>
      <c r="F32" s="4"/>
    </row>
    <row r="33" spans="2:6" x14ac:dyDescent="0.2">
      <c r="B33" s="4"/>
      <c r="F33" s="4"/>
    </row>
    <row r="34" spans="2:6" x14ac:dyDescent="0.2">
      <c r="B34" s="4"/>
      <c r="F34" s="4"/>
    </row>
    <row r="35" spans="2:6" x14ac:dyDescent="0.2">
      <c r="B35" s="4"/>
      <c r="F35" s="4"/>
    </row>
    <row r="36" spans="2:6" x14ac:dyDescent="0.2">
      <c r="B36" s="4"/>
      <c r="F36" s="4"/>
    </row>
    <row r="37" spans="2:6" x14ac:dyDescent="0.2">
      <c r="B37" s="4"/>
      <c r="F37" s="4"/>
    </row>
    <row r="38" spans="2:6" x14ac:dyDescent="0.2">
      <c r="B38" s="4"/>
      <c r="F38" s="4"/>
    </row>
    <row r="39" spans="2:6" x14ac:dyDescent="0.2">
      <c r="B39" s="4"/>
      <c r="F39" s="4"/>
    </row>
    <row r="40" spans="2:6" x14ac:dyDescent="0.2">
      <c r="B40" s="4"/>
      <c r="F40" s="4"/>
    </row>
    <row r="41" spans="2:6" x14ac:dyDescent="0.2">
      <c r="B41" s="4"/>
      <c r="F41" s="4"/>
    </row>
    <row r="42" spans="2:6" x14ac:dyDescent="0.2">
      <c r="B42" s="4"/>
      <c r="F42" s="4"/>
    </row>
    <row r="43" spans="2:6" x14ac:dyDescent="0.2">
      <c r="B43" s="4"/>
      <c r="F43" s="4"/>
    </row>
    <row r="44" spans="2:6" x14ac:dyDescent="0.2">
      <c r="B44" s="4"/>
      <c r="F44" s="4"/>
    </row>
    <row r="45" spans="2:6" x14ac:dyDescent="0.2">
      <c r="B45" s="4"/>
      <c r="F45" s="4"/>
    </row>
    <row r="46" spans="2:6" x14ac:dyDescent="0.2">
      <c r="B46" s="4"/>
      <c r="F46" s="4"/>
    </row>
    <row r="47" spans="2:6" x14ac:dyDescent="0.2">
      <c r="B47" s="4"/>
      <c r="F47" s="4"/>
    </row>
    <row r="48" spans="2: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</sheetData>
  <phoneticPr fontId="7" type="noConversion"/>
  <hyperlinks>
    <hyperlink ref="P11" r:id="rId1" display="http://www.konkoly.hu/cgi-bin/IBVS?5263"/>
    <hyperlink ref="P13" r:id="rId2" display="http://www.bav-astro.de/sfs/BAVM_link.php?BAVMnr=172"/>
    <hyperlink ref="P14" r:id="rId3" display="http://www.konkoly.hu/cgi-bin/IBVS?5690"/>
    <hyperlink ref="P15" r:id="rId4" display="http://www.konkoly.hu/cgi-bin/IBVS?5690"/>
    <hyperlink ref="P16" r:id="rId5" display="http://www.konkoly.hu/cgi-bin/IBVS?5690"/>
    <hyperlink ref="P20" r:id="rId6" display="http://www.konkoly.hu/cgi-bin/IBVS?5806"/>
    <hyperlink ref="P21" r:id="rId7" display="http://var.astro.cz/oejv/issues/oejv0107.pdf"/>
    <hyperlink ref="P22" r:id="rId8" display="http://var.astro.cz/oejv/issues/oejv0107.pdf"/>
    <hyperlink ref="P23" r:id="rId9" display="http://www.bav-astro.de/sfs/BAVM_link.php?BAVMnr=212"/>
    <hyperlink ref="P24" r:id="rId10" display="http://www.bav-astro.de/sfs/BAVM_link.php?BAVMnr=212"/>
    <hyperlink ref="P25" r:id="rId11" display="http://var.astro.cz/oejv/issues/oejv0137.pdf"/>
    <hyperlink ref="P26" r:id="rId12" display="http://var.astro.cz/oejv/issues/oejv0137.pdf"/>
    <hyperlink ref="P27" r:id="rId13" display="http://var.astro.cz/oejv/issues/oejv0137.pdf"/>
    <hyperlink ref="P17" r:id="rId14" display="http://www.bav-astro.de/sfs/BAVM_link.php?BAVMnr=215"/>
    <hyperlink ref="P18" r:id="rId15" display="http://www.bav-astro.de/sfs/BAVM_link.php?BAVMnr=220"/>
    <hyperlink ref="P19" r:id="rId16" display="http://www.bav-astro.de/sfs/BAVM_link.php?BAVMnr=22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2024-01-31T05:29:22Z</dcterms:modified>
</cp:coreProperties>
</file>