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2B4E15A-4F40-4E3A-B235-E7D734F887F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8" i="2" l="1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C9" i="1"/>
  <c r="D9" i="1"/>
  <c r="Q28" i="1"/>
  <c r="Q29" i="1"/>
  <c r="Q26" i="1"/>
  <c r="Q27" i="1"/>
  <c r="F16" i="1"/>
  <c r="C17" i="1"/>
  <c r="Q24" i="1"/>
  <c r="Q25" i="1"/>
  <c r="Q23" i="1"/>
  <c r="Q22" i="1"/>
  <c r="C21" i="1"/>
  <c r="C7" i="1"/>
  <c r="E28" i="1"/>
  <c r="F28" i="1"/>
  <c r="C8" i="1"/>
  <c r="E21" i="1"/>
  <c r="F21" i="1"/>
  <c r="Q21" i="1"/>
  <c r="E12" i="2"/>
  <c r="E16" i="2"/>
  <c r="E17" i="2"/>
  <c r="E18" i="2"/>
  <c r="E22" i="1"/>
  <c r="F22" i="1"/>
  <c r="G22" i="1"/>
  <c r="E29" i="1"/>
  <c r="F29" i="1"/>
  <c r="G29" i="1"/>
  <c r="J29" i="1"/>
  <c r="E27" i="1"/>
  <c r="F27" i="1"/>
  <c r="E24" i="1"/>
  <c r="F24" i="1"/>
  <c r="G24" i="1"/>
  <c r="J24" i="1"/>
  <c r="E26" i="1"/>
  <c r="F26" i="1"/>
  <c r="G26" i="1"/>
  <c r="J26" i="1"/>
  <c r="E23" i="1"/>
  <c r="F23" i="1"/>
  <c r="G23" i="1"/>
  <c r="J23" i="1"/>
  <c r="G28" i="1"/>
  <c r="J28" i="1"/>
  <c r="G27" i="1"/>
  <c r="J27" i="1"/>
  <c r="E25" i="1"/>
  <c r="F25" i="1"/>
  <c r="G25" i="1"/>
  <c r="J25" i="1"/>
  <c r="E11" i="2"/>
  <c r="E15" i="2"/>
  <c r="J22" i="1"/>
  <c r="E14" i="2"/>
  <c r="E13" i="2"/>
  <c r="C11" i="1"/>
  <c r="C12" i="1"/>
  <c r="C16" i="1" l="1"/>
  <c r="D18" i="1" s="1"/>
  <c r="O29" i="1"/>
  <c r="O25" i="1"/>
  <c r="O22" i="1"/>
  <c r="O23" i="1"/>
  <c r="O28" i="1"/>
  <c r="O21" i="1"/>
  <c r="O24" i="1"/>
  <c r="C15" i="1"/>
  <c r="F18" i="1" s="1"/>
  <c r="O27" i="1"/>
  <c r="O26" i="1"/>
  <c r="F17" i="1"/>
  <c r="C18" i="1" l="1"/>
  <c r="F19" i="1"/>
</calcChain>
</file>

<file path=xl/sharedStrings.xml><?xml version="1.0" encoding="utf-8"?>
<sst xmlns="http://schemas.openxmlformats.org/spreadsheetml/2006/main" count="138" uniqueCount="99">
  <si>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</si>
  <si>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</si>
  <si>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</si>
  <si>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</si>
  <si>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</si>
  <si>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</si>
  <si>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</si>
  <si>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</si>
  <si>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</si>
  <si>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</si>
  <si>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</si>
  <si>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</si>
  <si>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</si>
  <si>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</si>
  <si>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</si>
  <si>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</si>
  <si>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</si>
  <si>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</si>
  <si>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</si>
  <si>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</si>
  <si>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</si>
  <si>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</si>
  <si>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</si>
  <si>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</si>
  <si>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</si>
  <si>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</si>
  <si>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</si>
  <si>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</si>
  <si>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EB</t>
  </si>
  <si>
    <t>IBVS 5643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</si>
  <si>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</si>
  <si>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</si>
  <si>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</si>
  <si>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</si>
  <si>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</si>
  <si>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</si>
  <si>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</si>
  <si>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5761</t>
  </si>
  <si>
    <t>I</t>
  </si>
  <si>
    <t>Add cycle</t>
  </si>
  <si>
    <t>Old Cycle</t>
  </si>
  <si>
    <t>Start of linear fit &gt;&gt;&gt;&gt;&gt;&gt;&gt;&gt;&gt;&gt;&gt;&gt;&gt;&gt;&gt;&gt;&gt;&gt;&gt;&gt;&gt;</t>
  </si>
  <si>
    <t>IBVS 6010</t>
  </si>
  <si>
    <t>II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</si>
  <si>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</si>
  <si>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</si>
  <si>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</si>
  <si>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</si>
  <si>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</si>
  <si>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</si>
  <si>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</si>
  <si>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</si>
  <si>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</si>
  <si>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</si>
  <si>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</si>
  <si>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</si>
  <si>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2452929.4224 </t>
  </si>
  <si>
    <t> 16.10.2003 22:08 </t>
  </si>
  <si>
    <t> 0.1538 </t>
  </si>
  <si>
    <t>E </t>
  </si>
  <si>
    <t>o</t>
  </si>
  <si>
    <t> P.Frank </t>
  </si>
  <si>
    <t>BAVM 172 </t>
  </si>
  <si>
    <t>2453227.5023 </t>
  </si>
  <si>
    <t> 10.08.2004 00:03 </t>
  </si>
  <si>
    <t> 0.1572 </t>
  </si>
  <si>
    <t>-I</t>
  </si>
  <si>
    <t>BAVM 173 </t>
  </si>
  <si>
    <t>2453936.4997 </t>
  </si>
  <si>
    <t> 19.07.2006 23:59 </t>
  </si>
  <si>
    <t>22252</t>
  </si>
  <si>
    <t> 0.1552 </t>
  </si>
  <si>
    <t>C </t>
  </si>
  <si>
    <t> P. Frank </t>
  </si>
  <si>
    <t>BAVM 183 </t>
  </si>
  <si>
    <t>2454035.4097 </t>
  </si>
  <si>
    <t> 26.10.2006 21:49 </t>
  </si>
  <si>
    <t>22362</t>
  </si>
  <si>
    <t> 0.1559 </t>
  </si>
  <si>
    <t>2455707.4431 </t>
  </si>
  <si>
    <t> 25.05.2011 22:38 </t>
  </si>
  <si>
    <t>24221.5</t>
  </si>
  <si>
    <t> 0.1734 </t>
  </si>
  <si>
    <t> F.Agerer </t>
  </si>
  <si>
    <t>BAVM 220 </t>
  </si>
  <si>
    <t>2455778.4821 </t>
  </si>
  <si>
    <t> 04.08.2011 23:34 </t>
  </si>
  <si>
    <t>24300.5</t>
  </si>
  <si>
    <t> 0.1776 </t>
  </si>
  <si>
    <t>2456929.4321 </t>
  </si>
  <si>
    <t> 28.09.2014 22:22 </t>
  </si>
  <si>
    <t>25580.5</t>
  </si>
  <si>
    <t> 0.1836 </t>
  </si>
  <si>
    <t>BAVM 239 </t>
  </si>
  <si>
    <t>2456930.3228 </t>
  </si>
  <si>
    <t> 29.09.2014 19:44 </t>
  </si>
  <si>
    <t>25581.5</t>
  </si>
  <si>
    <t> 0.1751 </t>
  </si>
  <si>
    <t>V0866 Cyg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</si>
</sst>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V0866 Cyg - O-C Diagr.</a:t>
            </a:r>
          </a:p>
        </c:rich>
      </c:tx>
      <c:layout>
        <c:manualLayout>
          <c:xMode val="edge"/>
          <c:yMode val="edge"/>
          <c:x val="0.363489838406709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1583263062322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21132</c:v>
                </c:pt>
                <c:pt idx="2">
                  <c:v>21463.5</c:v>
                </c:pt>
                <c:pt idx="3">
                  <c:v>22252</c:v>
                </c:pt>
                <c:pt idx="4">
                  <c:v>22362</c:v>
                </c:pt>
                <c:pt idx="5">
                  <c:v>24221.5</c:v>
                </c:pt>
                <c:pt idx="6">
                  <c:v>24300.5</c:v>
                </c:pt>
                <c:pt idx="7">
                  <c:v>25580.5</c:v>
                </c:pt>
                <c:pt idx="8">
                  <c:v>25581.5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84-4C04-830F-84A3BED7C9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21132</c:v>
                </c:pt>
                <c:pt idx="2">
                  <c:v>21463.5</c:v>
                </c:pt>
                <c:pt idx="3">
                  <c:v>22252</c:v>
                </c:pt>
                <c:pt idx="4">
                  <c:v>22362</c:v>
                </c:pt>
                <c:pt idx="5">
                  <c:v>24221.5</c:v>
                </c:pt>
                <c:pt idx="6">
                  <c:v>24300.5</c:v>
                </c:pt>
                <c:pt idx="7">
                  <c:v>25580.5</c:v>
                </c:pt>
                <c:pt idx="8">
                  <c:v>25581.5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84-4C04-830F-84A3BED7C9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21132</c:v>
                </c:pt>
                <c:pt idx="2">
                  <c:v>21463.5</c:v>
                </c:pt>
                <c:pt idx="3">
                  <c:v>22252</c:v>
                </c:pt>
                <c:pt idx="4">
                  <c:v>22362</c:v>
                </c:pt>
                <c:pt idx="5">
                  <c:v>24221.5</c:v>
                </c:pt>
                <c:pt idx="6">
                  <c:v>24300.5</c:v>
                </c:pt>
                <c:pt idx="7">
                  <c:v>25580.5</c:v>
                </c:pt>
                <c:pt idx="8">
                  <c:v>25581.5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0.15384792400436709</c:v>
                </c:pt>
                <c:pt idx="2">
                  <c:v>0.1572377444972517</c:v>
                </c:pt>
                <c:pt idx="3">
                  <c:v>0.15515576399775455</c:v>
                </c:pt>
                <c:pt idx="4">
                  <c:v>0.15590653398976428</c:v>
                </c:pt>
                <c:pt idx="5">
                  <c:v>0.17340705049718963</c:v>
                </c:pt>
                <c:pt idx="6">
                  <c:v>0.17758260349364718</c:v>
                </c:pt>
                <c:pt idx="7">
                  <c:v>0.1835915634947014</c:v>
                </c:pt>
                <c:pt idx="8">
                  <c:v>0.17511657049908536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84-4C04-830F-84A3BED7C9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21132</c:v>
                </c:pt>
                <c:pt idx="2">
                  <c:v>21463.5</c:v>
                </c:pt>
                <c:pt idx="3">
                  <c:v>22252</c:v>
                </c:pt>
                <c:pt idx="4">
                  <c:v>22362</c:v>
                </c:pt>
                <c:pt idx="5">
                  <c:v>24221.5</c:v>
                </c:pt>
                <c:pt idx="6">
                  <c:v>24300.5</c:v>
                </c:pt>
                <c:pt idx="7">
                  <c:v>25580.5</c:v>
                </c:pt>
                <c:pt idx="8">
                  <c:v>25581.5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84-4C04-830F-84A3BED7C9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21132</c:v>
                </c:pt>
                <c:pt idx="2">
                  <c:v>21463.5</c:v>
                </c:pt>
                <c:pt idx="3">
                  <c:v>22252</c:v>
                </c:pt>
                <c:pt idx="4">
                  <c:v>22362</c:v>
                </c:pt>
                <c:pt idx="5">
                  <c:v>24221.5</c:v>
                </c:pt>
                <c:pt idx="6">
                  <c:v>24300.5</c:v>
                </c:pt>
                <c:pt idx="7">
                  <c:v>25580.5</c:v>
                </c:pt>
                <c:pt idx="8">
                  <c:v>25581.5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84-4C04-830F-84A3BED7C9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21132</c:v>
                </c:pt>
                <c:pt idx="2">
                  <c:v>21463.5</c:v>
                </c:pt>
                <c:pt idx="3">
                  <c:v>22252</c:v>
                </c:pt>
                <c:pt idx="4">
                  <c:v>22362</c:v>
                </c:pt>
                <c:pt idx="5">
                  <c:v>24221.5</c:v>
                </c:pt>
                <c:pt idx="6">
                  <c:v>24300.5</c:v>
                </c:pt>
                <c:pt idx="7">
                  <c:v>25580.5</c:v>
                </c:pt>
                <c:pt idx="8">
                  <c:v>25581.5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84-4C04-830F-84A3BED7C9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21132</c:v>
                </c:pt>
                <c:pt idx="2">
                  <c:v>21463.5</c:v>
                </c:pt>
                <c:pt idx="3">
                  <c:v>22252</c:v>
                </c:pt>
                <c:pt idx="4">
                  <c:v>22362</c:v>
                </c:pt>
                <c:pt idx="5">
                  <c:v>24221.5</c:v>
                </c:pt>
                <c:pt idx="6">
                  <c:v>24300.5</c:v>
                </c:pt>
                <c:pt idx="7">
                  <c:v>25580.5</c:v>
                </c:pt>
                <c:pt idx="8">
                  <c:v>25581.5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84-4C04-830F-84A3BED7C9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21132</c:v>
                </c:pt>
                <c:pt idx="2">
                  <c:v>21463.5</c:v>
                </c:pt>
                <c:pt idx="3">
                  <c:v>22252</c:v>
                </c:pt>
                <c:pt idx="4">
                  <c:v>22362</c:v>
                </c:pt>
                <c:pt idx="5">
                  <c:v>24221.5</c:v>
                </c:pt>
                <c:pt idx="6">
                  <c:v>24300.5</c:v>
                </c:pt>
                <c:pt idx="7">
                  <c:v>25580.5</c:v>
                </c:pt>
                <c:pt idx="8">
                  <c:v>25581.5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1.7183410810354655E-2</c:v>
                </c:pt>
                <c:pt idx="1">
                  <c:v>0.15223147714537541</c:v>
                </c:pt>
                <c:pt idx="2">
                  <c:v>0.15434999096281152</c:v>
                </c:pt>
                <c:pt idx="3">
                  <c:v>0.15938905022389252</c:v>
                </c:pt>
                <c:pt idx="4">
                  <c:v>0.16009202615124687</c:v>
                </c:pt>
                <c:pt idx="5">
                  <c:v>0.17197551466865985</c:v>
                </c:pt>
                <c:pt idx="6">
                  <c:v>0.17248037919830525</c:v>
                </c:pt>
                <c:pt idx="7">
                  <c:v>0.18066046271661051</c:v>
                </c:pt>
                <c:pt idx="8">
                  <c:v>0.18066685340685917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84-4C04-830F-84A3BED7C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895872"/>
        <c:axId val="1"/>
      </c:scatterChart>
      <c:valAx>
        <c:axId val="76889587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895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16979804018842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V0866 Cyg - O-C Diagr.</a:t>
            </a:r>
          </a:p>
        </c:rich>
      </c:tx>
      <c:layout>
        <c:manualLayout>
          <c:xMode val="edge"/>
          <c:yMode val="edge"/>
          <c:x val="0.362903225806451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14634168126798494"/>
          <c:w val="0.8161290322580645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21132</c:v>
                </c:pt>
                <c:pt idx="2">
                  <c:v>21463.5</c:v>
                </c:pt>
                <c:pt idx="3">
                  <c:v>22252</c:v>
                </c:pt>
                <c:pt idx="4">
                  <c:v>22362</c:v>
                </c:pt>
                <c:pt idx="5">
                  <c:v>24221.5</c:v>
                </c:pt>
                <c:pt idx="6">
                  <c:v>24300.5</c:v>
                </c:pt>
                <c:pt idx="7">
                  <c:v>25580.5</c:v>
                </c:pt>
                <c:pt idx="8">
                  <c:v>25581.5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32-4296-BFDC-718D0751C3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21132</c:v>
                </c:pt>
                <c:pt idx="2">
                  <c:v>21463.5</c:v>
                </c:pt>
                <c:pt idx="3">
                  <c:v>22252</c:v>
                </c:pt>
                <c:pt idx="4">
                  <c:v>22362</c:v>
                </c:pt>
                <c:pt idx="5">
                  <c:v>24221.5</c:v>
                </c:pt>
                <c:pt idx="6">
                  <c:v>24300.5</c:v>
                </c:pt>
                <c:pt idx="7">
                  <c:v>25580.5</c:v>
                </c:pt>
                <c:pt idx="8">
                  <c:v>25581.5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32-4296-BFDC-718D0751C3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21132</c:v>
                </c:pt>
                <c:pt idx="2">
                  <c:v>21463.5</c:v>
                </c:pt>
                <c:pt idx="3">
                  <c:v>22252</c:v>
                </c:pt>
                <c:pt idx="4">
                  <c:v>22362</c:v>
                </c:pt>
                <c:pt idx="5">
                  <c:v>24221.5</c:v>
                </c:pt>
                <c:pt idx="6">
                  <c:v>24300.5</c:v>
                </c:pt>
                <c:pt idx="7">
                  <c:v>25580.5</c:v>
                </c:pt>
                <c:pt idx="8">
                  <c:v>25581.5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0.15384792400436709</c:v>
                </c:pt>
                <c:pt idx="2">
                  <c:v>0.1572377444972517</c:v>
                </c:pt>
                <c:pt idx="3">
                  <c:v>0.15515576399775455</c:v>
                </c:pt>
                <c:pt idx="4">
                  <c:v>0.15590653398976428</c:v>
                </c:pt>
                <c:pt idx="5">
                  <c:v>0.17340705049718963</c:v>
                </c:pt>
                <c:pt idx="6">
                  <c:v>0.17758260349364718</c:v>
                </c:pt>
                <c:pt idx="7">
                  <c:v>0.1835915634947014</c:v>
                </c:pt>
                <c:pt idx="8">
                  <c:v>0.17511657049908536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32-4296-BFDC-718D0751C3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21132</c:v>
                </c:pt>
                <c:pt idx="2">
                  <c:v>21463.5</c:v>
                </c:pt>
                <c:pt idx="3">
                  <c:v>22252</c:v>
                </c:pt>
                <c:pt idx="4">
                  <c:v>22362</c:v>
                </c:pt>
                <c:pt idx="5">
                  <c:v>24221.5</c:v>
                </c:pt>
                <c:pt idx="6">
                  <c:v>24300.5</c:v>
                </c:pt>
                <c:pt idx="7">
                  <c:v>25580.5</c:v>
                </c:pt>
                <c:pt idx="8">
                  <c:v>25581.5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32-4296-BFDC-718D0751C3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21132</c:v>
                </c:pt>
                <c:pt idx="2">
                  <c:v>21463.5</c:v>
                </c:pt>
                <c:pt idx="3">
                  <c:v>22252</c:v>
                </c:pt>
                <c:pt idx="4">
                  <c:v>22362</c:v>
                </c:pt>
                <c:pt idx="5">
                  <c:v>24221.5</c:v>
                </c:pt>
                <c:pt idx="6">
                  <c:v>24300.5</c:v>
                </c:pt>
                <c:pt idx="7">
                  <c:v>25580.5</c:v>
                </c:pt>
                <c:pt idx="8">
                  <c:v>25581.5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32-4296-BFDC-718D0751C3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21132</c:v>
                </c:pt>
                <c:pt idx="2">
                  <c:v>21463.5</c:v>
                </c:pt>
                <c:pt idx="3">
                  <c:v>22252</c:v>
                </c:pt>
                <c:pt idx="4">
                  <c:v>22362</c:v>
                </c:pt>
                <c:pt idx="5">
                  <c:v>24221.5</c:v>
                </c:pt>
                <c:pt idx="6">
                  <c:v>24300.5</c:v>
                </c:pt>
                <c:pt idx="7">
                  <c:v>25580.5</c:v>
                </c:pt>
                <c:pt idx="8">
                  <c:v>25581.5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32-4296-BFDC-718D0751C3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2.7000000000000001E-3</c:v>
                  </c:pt>
                  <c:pt idx="4">
                    <c:v>2.5000000000000001E-3</c:v>
                  </c:pt>
                  <c:pt idx="5">
                    <c:v>2.9999999999999997E-4</c:v>
                  </c:pt>
                  <c:pt idx="6">
                    <c:v>7.3000000000000001E-3</c:v>
                  </c:pt>
                  <c:pt idx="7">
                    <c:v>1.17E-2</c:v>
                  </c:pt>
                  <c:pt idx="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21132</c:v>
                </c:pt>
                <c:pt idx="2">
                  <c:v>21463.5</c:v>
                </c:pt>
                <c:pt idx="3">
                  <c:v>22252</c:v>
                </c:pt>
                <c:pt idx="4">
                  <c:v>22362</c:v>
                </c:pt>
                <c:pt idx="5">
                  <c:v>24221.5</c:v>
                </c:pt>
                <c:pt idx="6">
                  <c:v>24300.5</c:v>
                </c:pt>
                <c:pt idx="7">
                  <c:v>25580.5</c:v>
                </c:pt>
                <c:pt idx="8">
                  <c:v>25581.5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32-4296-BFDC-718D0751C3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21132</c:v>
                </c:pt>
                <c:pt idx="2">
                  <c:v>21463.5</c:v>
                </c:pt>
                <c:pt idx="3">
                  <c:v>22252</c:v>
                </c:pt>
                <c:pt idx="4">
                  <c:v>22362</c:v>
                </c:pt>
                <c:pt idx="5">
                  <c:v>24221.5</c:v>
                </c:pt>
                <c:pt idx="6">
                  <c:v>24300.5</c:v>
                </c:pt>
                <c:pt idx="7">
                  <c:v>25580.5</c:v>
                </c:pt>
                <c:pt idx="8">
                  <c:v>25581.5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1.7183410810354655E-2</c:v>
                </c:pt>
                <c:pt idx="1">
                  <c:v>0.15223147714537541</c:v>
                </c:pt>
                <c:pt idx="2">
                  <c:v>0.15434999096281152</c:v>
                </c:pt>
                <c:pt idx="3">
                  <c:v>0.15938905022389252</c:v>
                </c:pt>
                <c:pt idx="4">
                  <c:v>0.16009202615124687</c:v>
                </c:pt>
                <c:pt idx="5">
                  <c:v>0.17197551466865985</c:v>
                </c:pt>
                <c:pt idx="6">
                  <c:v>0.17248037919830525</c:v>
                </c:pt>
                <c:pt idx="7">
                  <c:v>0.18066046271661051</c:v>
                </c:pt>
                <c:pt idx="8">
                  <c:v>0.18066685340685917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32-4296-BFDC-718D0751C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894072"/>
        <c:axId val="1"/>
      </c:scatterChart>
      <c:valAx>
        <c:axId val="7688940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894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45161290322581"/>
          <c:y val="0.92073298764483702"/>
          <c:w val="0.6741935483870967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9526</xdr:rowOff>
    </xdr:from>
    <xdr:to>
      <xdr:col>17</xdr:col>
      <xdr:colOff>161925</xdr:colOff>
      <xdr:row>18</xdr:row>
      <xdr:rowOff>19051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0DE87F9-2F96-69D3-8B67-E454E2753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28575</xdr:rowOff>
    </xdr:from>
    <xdr:to>
      <xdr:col>27</xdr:col>
      <xdr:colOff>9525</xdr:colOff>
      <xdr:row>18</xdr:row>
      <xdr:rowOff>19050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81882045-F034-2F00-D170-325964B17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183" TargetMode="External"/><Relationship Id="rId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sfs/BAVM_link.php?BAVMnr=172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98</v>
      </c>
    </row>
    <row r="2" spans="1:6" x14ac:dyDescent="0.2">
      <c r="A2" t="s">
        <v>24</v>
      </c>
      <c r="B2" s="9" t="s">
        <v>28</v>
      </c>
    </row>
    <row r="4" spans="1:6" ht="14.25" thickTop="1" thickBot="1" x14ac:dyDescent="0.25">
      <c r="A4" s="6" t="s">
        <v>0</v>
      </c>
      <c r="C4" s="3">
        <v>33927.902600000001</v>
      </c>
      <c r="D4" s="4">
        <v>0.89917499300000003</v>
      </c>
    </row>
    <row r="5" spans="1:6" ht="13.5" thickTop="1" x14ac:dyDescent="0.2">
      <c r="A5" s="14" t="s">
        <v>31</v>
      </c>
      <c r="B5" s="9"/>
      <c r="C5" s="15">
        <v>-9.5</v>
      </c>
      <c r="D5" s="9" t="s">
        <v>32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33927.902600000001</v>
      </c>
    </row>
    <row r="8" spans="1:6" x14ac:dyDescent="0.2">
      <c r="A8" t="s">
        <v>3</v>
      </c>
      <c r="C8">
        <f>+D4</f>
        <v>0.89917499300000003</v>
      </c>
    </row>
    <row r="9" spans="1:6" x14ac:dyDescent="0.2">
      <c r="A9" s="29" t="s">
        <v>41</v>
      </c>
      <c r="B9" s="30">
        <v>21</v>
      </c>
      <c r="C9" s="28" t="str">
        <f>"F"&amp;B9</f>
        <v>F21</v>
      </c>
      <c r="D9" s="26" t="str">
        <f>"G"&amp;B9</f>
        <v>G21</v>
      </c>
    </row>
    <row r="10" spans="1:6" ht="13.5" thickBot="1" x14ac:dyDescent="0.25">
      <c r="A10" s="9"/>
      <c r="B10" s="9"/>
      <c r="C10" s="5" t="s">
        <v>20</v>
      </c>
      <c r="D10" s="5" t="s">
        <v>21</v>
      </c>
      <c r="E10" s="9"/>
    </row>
    <row r="11" spans="1:6" x14ac:dyDescent="0.2">
      <c r="A11" s="9" t="s">
        <v>16</v>
      </c>
      <c r="B11" s="9"/>
      <c r="C11" s="27">
        <f ca="1">INTERCEPT(INDIRECT($D$9):G992,INDIRECT($C$9):F992)</f>
        <v>1.7183410810354655E-2</v>
      </c>
      <c r="D11" s="16"/>
      <c r="E11" s="9"/>
    </row>
    <row r="12" spans="1:6" x14ac:dyDescent="0.2">
      <c r="A12" s="9" t="s">
        <v>17</v>
      </c>
      <c r="B12" s="9"/>
      <c r="C12" s="27">
        <f ca="1">SLOPE(INDIRECT($D$9):G992,INDIRECT($C$9):F992)</f>
        <v>6.3906902486759779E-6</v>
      </c>
      <c r="D12" s="16"/>
      <c r="E12" s="9"/>
    </row>
    <row r="13" spans="1:6" x14ac:dyDescent="0.2">
      <c r="A13" s="9" t="s">
        <v>19</v>
      </c>
      <c r="B13" s="9"/>
      <c r="C13" s="16" t="s">
        <v>14</v>
      </c>
    </row>
    <row r="14" spans="1:6" x14ac:dyDescent="0.2">
      <c r="A14" s="9"/>
      <c r="B14" s="9"/>
      <c r="C14" s="9"/>
    </row>
    <row r="15" spans="1:6" x14ac:dyDescent="0.2">
      <c r="A15" s="17" t="s">
        <v>18</v>
      </c>
      <c r="B15" s="9"/>
      <c r="C15" s="18">
        <f ca="1">(C7+C11)+(C8+C12)*INT(MAX(F21:F3533))</f>
        <v>56929.878759591069</v>
      </c>
      <c r="E15" s="19" t="s">
        <v>39</v>
      </c>
      <c r="F15" s="15">
        <v>1</v>
      </c>
    </row>
    <row r="16" spans="1:6" x14ac:dyDescent="0.2">
      <c r="A16" s="21" t="s">
        <v>4</v>
      </c>
      <c r="B16" s="9"/>
      <c r="C16" s="22">
        <f ca="1">+C8+C12</f>
        <v>0.89918138369024869</v>
      </c>
      <c r="E16" s="19" t="s">
        <v>33</v>
      </c>
      <c r="F16" s="20">
        <f ca="1">NOW()+15018.5+$C$5/24</f>
        <v>60342.695660532409</v>
      </c>
    </row>
    <row r="17" spans="1:17" ht="13.5" thickBot="1" x14ac:dyDescent="0.25">
      <c r="A17" s="19" t="s">
        <v>35</v>
      </c>
      <c r="B17" s="9"/>
      <c r="C17" s="9">
        <f>COUNT(C21:C2191)</f>
        <v>9</v>
      </c>
      <c r="E17" s="19" t="s">
        <v>40</v>
      </c>
      <c r="F17" s="20">
        <f ca="1">ROUND(2*(F16-$C$7)/$C$8,0)/2+F15</f>
        <v>29377.5</v>
      </c>
    </row>
    <row r="18" spans="1:17" ht="14.25" thickTop="1" thickBot="1" x14ac:dyDescent="0.25">
      <c r="A18" s="21" t="s">
        <v>5</v>
      </c>
      <c r="B18" s="9"/>
      <c r="C18" s="24">
        <f ca="1">+C15</f>
        <v>56929.878759591069</v>
      </c>
      <c r="D18" s="25">
        <f ca="1">+C16</f>
        <v>0.89918138369024869</v>
      </c>
      <c r="E18" s="19" t="s">
        <v>34</v>
      </c>
      <c r="F18" s="26">
        <f ca="1">ROUND(2*(F16-$C$15)/$C$16,0)/2+F15</f>
        <v>3796.5</v>
      </c>
    </row>
    <row r="19" spans="1:17" ht="13.5" thickTop="1" x14ac:dyDescent="0.2">
      <c r="E19" s="19" t="s">
        <v>36</v>
      </c>
      <c r="F19" s="23">
        <f ca="1">+$C$15+$C$16*F18-15018.5-$C$5/24</f>
        <v>45325.51671610443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52</v>
      </c>
      <c r="I20" s="8" t="s">
        <v>55</v>
      </c>
      <c r="J20" s="8" t="s">
        <v>49</v>
      </c>
      <c r="K20" s="8" t="s">
        <v>47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12">
        <f>+C4</f>
        <v>33927.902600000001</v>
      </c>
      <c r="D21" s="12" t="s">
        <v>14</v>
      </c>
      <c r="E21">
        <f t="shared" ref="E21:E29" si="0">+(C21-C$7)/C$8</f>
        <v>0</v>
      </c>
      <c r="F21">
        <f t="shared" ref="F21:F29" si="1">ROUND(2*E21,0)/2</f>
        <v>0</v>
      </c>
      <c r="H21" s="26">
        <v>0</v>
      </c>
      <c r="O21">
        <f t="shared" ref="O21:O29" ca="1" si="2">+C$11+C$12*$F21</f>
        <v>1.7183410810354655E-2</v>
      </c>
      <c r="Q21" s="2">
        <f t="shared" ref="Q21:Q29" si="3">+C21-15018.5</f>
        <v>18909.402600000001</v>
      </c>
    </row>
    <row r="22" spans="1:17" x14ac:dyDescent="0.2">
      <c r="A22" s="10" t="s">
        <v>29</v>
      </c>
      <c r="B22" s="11"/>
      <c r="C22" s="13">
        <v>52929.422400000003</v>
      </c>
      <c r="D22" s="13">
        <v>2E-3</v>
      </c>
      <c r="E22">
        <f t="shared" si="0"/>
        <v>21132.171098979841</v>
      </c>
      <c r="F22">
        <f t="shared" si="1"/>
        <v>21132</v>
      </c>
      <c r="G22">
        <f t="shared" ref="G22:G29" si="4">+C22-(C$7+F22*C$8)</f>
        <v>0.15384792400436709</v>
      </c>
      <c r="J22">
        <f t="shared" ref="J22:J29" si="5">+G22</f>
        <v>0.15384792400436709</v>
      </c>
      <c r="O22">
        <f t="shared" ca="1" si="2"/>
        <v>0.15223147714537541</v>
      </c>
      <c r="Q22" s="2">
        <f t="shared" si="3"/>
        <v>37910.922400000003</v>
      </c>
    </row>
    <row r="23" spans="1:17" x14ac:dyDescent="0.2">
      <c r="A23" s="31" t="s">
        <v>30</v>
      </c>
      <c r="B23" s="32"/>
      <c r="C23" s="33">
        <v>53227.5023</v>
      </c>
      <c r="D23" s="33">
        <v>8.0000000000000004E-4</v>
      </c>
      <c r="E23" s="34">
        <f t="shared" si="0"/>
        <v>21463.674868902854</v>
      </c>
      <c r="F23">
        <f t="shared" si="1"/>
        <v>21463.5</v>
      </c>
      <c r="G23">
        <f t="shared" si="4"/>
        <v>0.1572377444972517</v>
      </c>
      <c r="J23">
        <f t="shared" si="5"/>
        <v>0.1572377444972517</v>
      </c>
      <c r="O23">
        <f t="shared" ca="1" si="2"/>
        <v>0.15434999096281152</v>
      </c>
      <c r="Q23" s="2">
        <f t="shared" si="3"/>
        <v>38209.0023</v>
      </c>
    </row>
    <row r="24" spans="1:17" x14ac:dyDescent="0.2">
      <c r="A24" s="35" t="s">
        <v>37</v>
      </c>
      <c r="B24" s="32" t="s">
        <v>38</v>
      </c>
      <c r="C24" s="33">
        <v>53936.4997</v>
      </c>
      <c r="D24" s="33">
        <v>2.7000000000000001E-3</v>
      </c>
      <c r="E24" s="34">
        <f t="shared" si="0"/>
        <v>22252.172553468685</v>
      </c>
      <c r="F24">
        <f t="shared" si="1"/>
        <v>22252</v>
      </c>
      <c r="G24">
        <f t="shared" si="4"/>
        <v>0.15515576399775455</v>
      </c>
      <c r="J24">
        <f t="shared" si="5"/>
        <v>0.15515576399775455</v>
      </c>
      <c r="O24">
        <f t="shared" ca="1" si="2"/>
        <v>0.15938905022389252</v>
      </c>
      <c r="Q24" s="2">
        <f t="shared" si="3"/>
        <v>38917.9997</v>
      </c>
    </row>
    <row r="25" spans="1:17" x14ac:dyDescent="0.2">
      <c r="A25" s="35" t="s">
        <v>37</v>
      </c>
      <c r="B25" s="32" t="s">
        <v>38</v>
      </c>
      <c r="C25" s="33">
        <v>54035.409699999997</v>
      </c>
      <c r="D25" s="33">
        <v>2.5000000000000001E-3</v>
      </c>
      <c r="E25" s="34">
        <f t="shared" si="0"/>
        <v>22362.173388422951</v>
      </c>
      <c r="F25">
        <f t="shared" si="1"/>
        <v>22362</v>
      </c>
      <c r="G25">
        <f t="shared" si="4"/>
        <v>0.15590653398976428</v>
      </c>
      <c r="J25">
        <f t="shared" si="5"/>
        <v>0.15590653398976428</v>
      </c>
      <c r="O25">
        <f t="shared" ca="1" si="2"/>
        <v>0.16009202615124687</v>
      </c>
      <c r="Q25" s="2">
        <f t="shared" si="3"/>
        <v>39016.909699999997</v>
      </c>
    </row>
    <row r="26" spans="1:17" x14ac:dyDescent="0.2">
      <c r="A26" s="36" t="s">
        <v>42</v>
      </c>
      <c r="B26" s="37" t="s">
        <v>43</v>
      </c>
      <c r="C26" s="36">
        <v>55707.443099999997</v>
      </c>
      <c r="D26" s="36">
        <v>2.9999999999999997E-4</v>
      </c>
      <c r="E26" s="34">
        <f t="shared" si="0"/>
        <v>24221.692851282391</v>
      </c>
      <c r="F26">
        <f t="shared" si="1"/>
        <v>24221.5</v>
      </c>
      <c r="G26">
        <f t="shared" si="4"/>
        <v>0.17340705049718963</v>
      </c>
      <c r="J26">
        <f t="shared" si="5"/>
        <v>0.17340705049718963</v>
      </c>
      <c r="O26">
        <f t="shared" ca="1" si="2"/>
        <v>0.17197551466865985</v>
      </c>
      <c r="Q26" s="2">
        <f t="shared" si="3"/>
        <v>40688.943099999997</v>
      </c>
    </row>
    <row r="27" spans="1:17" x14ac:dyDescent="0.2">
      <c r="A27" s="36" t="s">
        <v>42</v>
      </c>
      <c r="B27" s="37" t="s">
        <v>43</v>
      </c>
      <c r="C27" s="36">
        <v>55778.482100000001</v>
      </c>
      <c r="D27" s="36">
        <v>7.3000000000000001E-3</v>
      </c>
      <c r="E27" s="34">
        <f t="shared" si="0"/>
        <v>24300.697495042547</v>
      </c>
      <c r="F27">
        <f t="shared" si="1"/>
        <v>24300.5</v>
      </c>
      <c r="G27">
        <f t="shared" si="4"/>
        <v>0.17758260349364718</v>
      </c>
      <c r="J27">
        <f t="shared" si="5"/>
        <v>0.17758260349364718</v>
      </c>
      <c r="O27">
        <f t="shared" ca="1" si="2"/>
        <v>0.17248037919830525</v>
      </c>
      <c r="Q27" s="2">
        <f t="shared" si="3"/>
        <v>40759.982100000001</v>
      </c>
    </row>
    <row r="28" spans="1:17" x14ac:dyDescent="0.2">
      <c r="A28" s="38" t="s">
        <v>44</v>
      </c>
      <c r="B28" s="39"/>
      <c r="C28" s="38">
        <v>56929.432099999998</v>
      </c>
      <c r="D28" s="38">
        <v>1.17E-2</v>
      </c>
      <c r="E28" s="34">
        <f t="shared" si="0"/>
        <v>25580.704177790671</v>
      </c>
      <c r="F28">
        <f t="shared" si="1"/>
        <v>25580.5</v>
      </c>
      <c r="G28">
        <f t="shared" si="4"/>
        <v>0.1835915634947014</v>
      </c>
      <c r="J28">
        <f t="shared" si="5"/>
        <v>0.1835915634947014</v>
      </c>
      <c r="O28">
        <f t="shared" ca="1" si="2"/>
        <v>0.18066046271661051</v>
      </c>
      <c r="Q28" s="2">
        <f t="shared" si="3"/>
        <v>41910.932099999998</v>
      </c>
    </row>
    <row r="29" spans="1:17" x14ac:dyDescent="0.2">
      <c r="A29" s="38" t="s">
        <v>44</v>
      </c>
      <c r="B29" s="39"/>
      <c r="C29" s="38">
        <v>56930.322800000002</v>
      </c>
      <c r="D29" s="38">
        <v>4.5999999999999999E-3</v>
      </c>
      <c r="E29" s="34">
        <f t="shared" si="0"/>
        <v>25581.694752491854</v>
      </c>
      <c r="F29">
        <f t="shared" si="1"/>
        <v>25581.5</v>
      </c>
      <c r="G29">
        <f t="shared" si="4"/>
        <v>0.17511657049908536</v>
      </c>
      <c r="J29">
        <f t="shared" si="5"/>
        <v>0.17511657049908536</v>
      </c>
      <c r="O29">
        <f t="shared" ca="1" si="2"/>
        <v>0.18066685340685917</v>
      </c>
      <c r="Q29" s="2">
        <f t="shared" si="3"/>
        <v>41911.822800000002</v>
      </c>
    </row>
    <row r="30" spans="1:17" x14ac:dyDescent="0.2">
      <c r="C30" s="12"/>
      <c r="D30" s="12"/>
      <c r="Q30" s="2"/>
    </row>
    <row r="31" spans="1:17" x14ac:dyDescent="0.2">
      <c r="C31" s="12"/>
      <c r="D31" s="12"/>
      <c r="Q31" s="2"/>
    </row>
    <row r="32" spans="1:17" x14ac:dyDescent="0.2">
      <c r="C32" s="12"/>
      <c r="D32" s="12"/>
      <c r="Q32" s="2"/>
    </row>
    <row r="33" spans="3:17" x14ac:dyDescent="0.2">
      <c r="C33" s="12"/>
      <c r="D33" s="12"/>
      <c r="Q33" s="2"/>
    </row>
    <row r="34" spans="3:17" x14ac:dyDescent="0.2">
      <c r="C34" s="12"/>
      <c r="D34" s="12"/>
    </row>
    <row r="35" spans="3:17" x14ac:dyDescent="0.2">
      <c r="C35" s="12"/>
      <c r="D35" s="12"/>
    </row>
    <row r="36" spans="3:17" x14ac:dyDescent="0.2">
      <c r="C36" s="12"/>
      <c r="D36" s="12"/>
    </row>
    <row r="37" spans="3:17" x14ac:dyDescent="0.2">
      <c r="C37" s="12"/>
      <c r="D37" s="12"/>
    </row>
    <row r="38" spans="3:17" x14ac:dyDescent="0.2">
      <c r="C38" s="12"/>
      <c r="D38" s="12"/>
    </row>
    <row r="39" spans="3:17" x14ac:dyDescent="0.2">
      <c r="C39" s="12"/>
      <c r="D39" s="12"/>
    </row>
    <row r="40" spans="3:17" x14ac:dyDescent="0.2">
      <c r="C40" s="12"/>
      <c r="D40" s="12"/>
    </row>
    <row r="41" spans="3:17" x14ac:dyDescent="0.2">
      <c r="C41" s="12"/>
      <c r="D41" s="12"/>
    </row>
    <row r="42" spans="3:17" x14ac:dyDescent="0.2">
      <c r="C42" s="12"/>
      <c r="D42" s="12"/>
    </row>
    <row r="43" spans="3:17" x14ac:dyDescent="0.2">
      <c r="C43" s="12"/>
      <c r="D43" s="12"/>
    </row>
    <row r="44" spans="3:17" x14ac:dyDescent="0.2">
      <c r="C44" s="12"/>
      <c r="D44" s="12"/>
    </row>
    <row r="45" spans="3:17" x14ac:dyDescent="0.2">
      <c r="C45" s="12"/>
      <c r="D45" s="12"/>
    </row>
    <row r="46" spans="3:17" x14ac:dyDescent="0.2">
      <c r="C46" s="12"/>
      <c r="D46" s="12"/>
    </row>
    <row r="47" spans="3:17" x14ac:dyDescent="0.2">
      <c r="C47" s="12"/>
      <c r="D47" s="12"/>
    </row>
    <row r="48" spans="3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8"/>
  <sheetViews>
    <sheetView workbookViewId="0">
      <selection activeCell="A11" sqref="A11:IV448"/>
    </sheetView>
  </sheetViews>
  <sheetFormatPr defaultRowHeight="12.75" x14ac:dyDescent="0.2"/>
  <cols>
    <col min="1" max="1" width="19.7109375" style="12" customWidth="1"/>
    <col min="2" max="2" width="4.42578125" style="9" customWidth="1"/>
    <col min="3" max="3" width="12.7109375" style="12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2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0" t="s">
        <v>45</v>
      </c>
      <c r="I1" s="41" t="s">
        <v>46</v>
      </c>
      <c r="J1" s="42" t="s">
        <v>47</v>
      </c>
    </row>
    <row r="2" spans="1:16" x14ac:dyDescent="0.2">
      <c r="I2" s="43" t="s">
        <v>48</v>
      </c>
      <c r="J2" s="44" t="s">
        <v>49</v>
      </c>
    </row>
    <row r="3" spans="1:16" x14ac:dyDescent="0.2">
      <c r="A3" s="45" t="s">
        <v>50</v>
      </c>
      <c r="I3" s="43" t="s">
        <v>51</v>
      </c>
      <c r="J3" s="44" t="s">
        <v>52</v>
      </c>
    </row>
    <row r="4" spans="1:16" x14ac:dyDescent="0.2">
      <c r="I4" s="43" t="s">
        <v>53</v>
      </c>
      <c r="J4" s="44" t="s">
        <v>52</v>
      </c>
    </row>
    <row r="5" spans="1:16" ht="13.5" thickBot="1" x14ac:dyDescent="0.25">
      <c r="I5" s="46" t="s">
        <v>54</v>
      </c>
      <c r="J5" s="47" t="s">
        <v>55</v>
      </c>
    </row>
    <row r="10" spans="1:16" ht="13.5" thickBot="1" x14ac:dyDescent="0.25"/>
    <row r="11" spans="1:16" ht="12.75" customHeight="1" thickBot="1" x14ac:dyDescent="0.25">
      <c r="A11" s="12" t="str">
        <f t="shared" ref="A11:A18" si="0">P11</f>
        <v>BAVM 172 </v>
      </c>
      <c r="B11" s="16" t="str">
        <f t="shared" ref="B11:B18" si="1">IF(H11=INT(H11),"I","II")</f>
        <v>I</v>
      </c>
      <c r="C11" s="12">
        <f t="shared" ref="C11:C18" si="2">1*G11</f>
        <v>52929.422400000003</v>
      </c>
      <c r="D11" s="9" t="str">
        <f t="shared" ref="D11:D18" si="3">VLOOKUP(F11,I$1:J$5,2,FALSE)</f>
        <v>vis</v>
      </c>
      <c r="E11" s="48">
        <f>VLOOKUP(C11,Active!C$21:E$973,3,FALSE)</f>
        <v>21132.171098979841</v>
      </c>
      <c r="F11" s="16" t="s">
        <v>54</v>
      </c>
      <c r="G11" s="9" t="str">
        <f t="shared" ref="G11:G18" si="4">MID(I11,3,LEN(I11)-3)</f>
        <v>52929.4224</v>
      </c>
      <c r="H11" s="12">
        <f t="shared" ref="H11:H18" si="5">1*K11</f>
        <v>21132</v>
      </c>
      <c r="I11" s="49" t="s">
        <v>56</v>
      </c>
      <c r="J11" s="50" t="s">
        <v>57</v>
      </c>
      <c r="K11" s="49">
        <v>21132</v>
      </c>
      <c r="L11" s="49" t="s">
        <v>58</v>
      </c>
      <c r="M11" s="50" t="s">
        <v>59</v>
      </c>
      <c r="N11" s="50" t="s">
        <v>60</v>
      </c>
      <c r="O11" s="51" t="s">
        <v>61</v>
      </c>
      <c r="P11" s="52" t="s">
        <v>62</v>
      </c>
    </row>
    <row r="12" spans="1:16" ht="12.75" customHeight="1" thickBot="1" x14ac:dyDescent="0.25">
      <c r="A12" s="12" t="str">
        <f t="shared" si="0"/>
        <v>BAVM 173 </v>
      </c>
      <c r="B12" s="16" t="str">
        <f t="shared" si="1"/>
        <v>II</v>
      </c>
      <c r="C12" s="12">
        <f t="shared" si="2"/>
        <v>53227.5023</v>
      </c>
      <c r="D12" s="9" t="str">
        <f t="shared" si="3"/>
        <v>vis</v>
      </c>
      <c r="E12" s="48">
        <f>VLOOKUP(C12,Active!C$21:E$973,3,FALSE)</f>
        <v>21463.674868902854</v>
      </c>
      <c r="F12" s="16" t="s">
        <v>54</v>
      </c>
      <c r="G12" s="9" t="str">
        <f t="shared" si="4"/>
        <v>53227.5023</v>
      </c>
      <c r="H12" s="12">
        <f t="shared" si="5"/>
        <v>21463.5</v>
      </c>
      <c r="I12" s="49" t="s">
        <v>63</v>
      </c>
      <c r="J12" s="50" t="s">
        <v>64</v>
      </c>
      <c r="K12" s="49">
        <v>21463.5</v>
      </c>
      <c r="L12" s="49" t="s">
        <v>65</v>
      </c>
      <c r="M12" s="50" t="s">
        <v>59</v>
      </c>
      <c r="N12" s="50" t="s">
        <v>66</v>
      </c>
      <c r="O12" s="51" t="s">
        <v>61</v>
      </c>
      <c r="P12" s="52" t="s">
        <v>67</v>
      </c>
    </row>
    <row r="13" spans="1:16" ht="12.75" customHeight="1" thickBot="1" x14ac:dyDescent="0.25">
      <c r="A13" s="12" t="str">
        <f t="shared" si="0"/>
        <v>BAVM 183 </v>
      </c>
      <c r="B13" s="16" t="str">
        <f t="shared" si="1"/>
        <v>I</v>
      </c>
      <c r="C13" s="12">
        <f t="shared" si="2"/>
        <v>53936.4997</v>
      </c>
      <c r="D13" s="9" t="str">
        <f t="shared" si="3"/>
        <v>vis</v>
      </c>
      <c r="E13" s="48">
        <f>VLOOKUP(C13,Active!C$21:E$973,3,FALSE)</f>
        <v>22252.172553468685</v>
      </c>
      <c r="F13" s="16" t="s">
        <v>54</v>
      </c>
      <c r="G13" s="9" t="str">
        <f t="shared" si="4"/>
        <v>53936.4997</v>
      </c>
      <c r="H13" s="12">
        <f t="shared" si="5"/>
        <v>22252</v>
      </c>
      <c r="I13" s="49" t="s">
        <v>68</v>
      </c>
      <c r="J13" s="50" t="s">
        <v>69</v>
      </c>
      <c r="K13" s="49" t="s">
        <v>70</v>
      </c>
      <c r="L13" s="49" t="s">
        <v>71</v>
      </c>
      <c r="M13" s="50" t="s">
        <v>72</v>
      </c>
      <c r="N13" s="50" t="s">
        <v>66</v>
      </c>
      <c r="O13" s="51" t="s">
        <v>73</v>
      </c>
      <c r="P13" s="52" t="s">
        <v>74</v>
      </c>
    </row>
    <row r="14" spans="1:16" ht="12.75" customHeight="1" thickBot="1" x14ac:dyDescent="0.25">
      <c r="A14" s="12" t="str">
        <f t="shared" si="0"/>
        <v>BAVM 183 </v>
      </c>
      <c r="B14" s="16" t="str">
        <f t="shared" si="1"/>
        <v>I</v>
      </c>
      <c r="C14" s="12">
        <f t="shared" si="2"/>
        <v>54035.409699999997</v>
      </c>
      <c r="D14" s="9" t="str">
        <f t="shared" si="3"/>
        <v>vis</v>
      </c>
      <c r="E14" s="48">
        <f>VLOOKUP(C14,Active!C$21:E$973,3,FALSE)</f>
        <v>22362.173388422951</v>
      </c>
      <c r="F14" s="16" t="s">
        <v>54</v>
      </c>
      <c r="G14" s="9" t="str">
        <f t="shared" si="4"/>
        <v>54035.4097</v>
      </c>
      <c r="H14" s="12">
        <f t="shared" si="5"/>
        <v>22362</v>
      </c>
      <c r="I14" s="49" t="s">
        <v>75</v>
      </c>
      <c r="J14" s="50" t="s">
        <v>76</v>
      </c>
      <c r="K14" s="49" t="s">
        <v>77</v>
      </c>
      <c r="L14" s="49" t="s">
        <v>78</v>
      </c>
      <c r="M14" s="50" t="s">
        <v>72</v>
      </c>
      <c r="N14" s="50" t="s">
        <v>66</v>
      </c>
      <c r="O14" s="51" t="s">
        <v>73</v>
      </c>
      <c r="P14" s="52" t="s">
        <v>74</v>
      </c>
    </row>
    <row r="15" spans="1:16" ht="12.75" customHeight="1" thickBot="1" x14ac:dyDescent="0.25">
      <c r="A15" s="12" t="str">
        <f t="shared" si="0"/>
        <v>BAVM 220 </v>
      </c>
      <c r="B15" s="16" t="str">
        <f t="shared" si="1"/>
        <v>II</v>
      </c>
      <c r="C15" s="12">
        <f t="shared" si="2"/>
        <v>55707.443099999997</v>
      </c>
      <c r="D15" s="9" t="str">
        <f t="shared" si="3"/>
        <v>vis</v>
      </c>
      <c r="E15" s="48">
        <f>VLOOKUP(C15,Active!C$21:E$973,3,FALSE)</f>
        <v>24221.692851282391</v>
      </c>
      <c r="F15" s="16" t="s">
        <v>54</v>
      </c>
      <c r="G15" s="9" t="str">
        <f t="shared" si="4"/>
        <v>55707.4431</v>
      </c>
      <c r="H15" s="12">
        <f t="shared" si="5"/>
        <v>24221.5</v>
      </c>
      <c r="I15" s="49" t="s">
        <v>79</v>
      </c>
      <c r="J15" s="50" t="s">
        <v>80</v>
      </c>
      <c r="K15" s="49" t="s">
        <v>81</v>
      </c>
      <c r="L15" s="49" t="s">
        <v>82</v>
      </c>
      <c r="M15" s="50" t="s">
        <v>72</v>
      </c>
      <c r="N15" s="50" t="s">
        <v>66</v>
      </c>
      <c r="O15" s="51" t="s">
        <v>83</v>
      </c>
      <c r="P15" s="52" t="s">
        <v>84</v>
      </c>
    </row>
    <row r="16" spans="1:16" ht="12.75" customHeight="1" thickBot="1" x14ac:dyDescent="0.25">
      <c r="A16" s="12" t="str">
        <f t="shared" si="0"/>
        <v>BAVM 220 </v>
      </c>
      <c r="B16" s="16" t="str">
        <f t="shared" si="1"/>
        <v>II</v>
      </c>
      <c r="C16" s="12">
        <f t="shared" si="2"/>
        <v>55778.482100000001</v>
      </c>
      <c r="D16" s="9" t="str">
        <f t="shared" si="3"/>
        <v>vis</v>
      </c>
      <c r="E16" s="48">
        <f>VLOOKUP(C16,Active!C$21:E$973,3,FALSE)</f>
        <v>24300.697495042547</v>
      </c>
      <c r="F16" s="16" t="s">
        <v>54</v>
      </c>
      <c r="G16" s="9" t="str">
        <f t="shared" si="4"/>
        <v>55778.4821</v>
      </c>
      <c r="H16" s="12">
        <f t="shared" si="5"/>
        <v>24300.5</v>
      </c>
      <c r="I16" s="49" t="s">
        <v>85</v>
      </c>
      <c r="J16" s="50" t="s">
        <v>86</v>
      </c>
      <c r="K16" s="49" t="s">
        <v>87</v>
      </c>
      <c r="L16" s="49" t="s">
        <v>88</v>
      </c>
      <c r="M16" s="50" t="s">
        <v>72</v>
      </c>
      <c r="N16" s="50" t="s">
        <v>66</v>
      </c>
      <c r="O16" s="51" t="s">
        <v>83</v>
      </c>
      <c r="P16" s="52" t="s">
        <v>84</v>
      </c>
    </row>
    <row r="17" spans="1:16" ht="12.75" customHeight="1" thickBot="1" x14ac:dyDescent="0.25">
      <c r="A17" s="12" t="str">
        <f t="shared" si="0"/>
        <v>BAVM 239 </v>
      </c>
      <c r="B17" s="16" t="str">
        <f t="shared" si="1"/>
        <v>II</v>
      </c>
      <c r="C17" s="12">
        <f t="shared" si="2"/>
        <v>56929.432099999998</v>
      </c>
      <c r="D17" s="9" t="str">
        <f t="shared" si="3"/>
        <v>vis</v>
      </c>
      <c r="E17" s="48">
        <f>VLOOKUP(C17,Active!C$21:E$973,3,FALSE)</f>
        <v>25580.704177790671</v>
      </c>
      <c r="F17" s="16" t="s">
        <v>54</v>
      </c>
      <c r="G17" s="9" t="str">
        <f t="shared" si="4"/>
        <v>56929.4321</v>
      </c>
      <c r="H17" s="12">
        <f t="shared" si="5"/>
        <v>25580.5</v>
      </c>
      <c r="I17" s="49" t="s">
        <v>89</v>
      </c>
      <c r="J17" s="50" t="s">
        <v>90</v>
      </c>
      <c r="K17" s="49" t="s">
        <v>91</v>
      </c>
      <c r="L17" s="49" t="s">
        <v>92</v>
      </c>
      <c r="M17" s="50" t="s">
        <v>72</v>
      </c>
      <c r="N17" s="50" t="s">
        <v>66</v>
      </c>
      <c r="O17" s="51" t="s">
        <v>83</v>
      </c>
      <c r="P17" s="52" t="s">
        <v>93</v>
      </c>
    </row>
    <row r="18" spans="1:16" ht="12.75" customHeight="1" thickBot="1" x14ac:dyDescent="0.25">
      <c r="A18" s="12" t="str">
        <f t="shared" si="0"/>
        <v>BAVM 239 </v>
      </c>
      <c r="B18" s="16" t="str">
        <f t="shared" si="1"/>
        <v>II</v>
      </c>
      <c r="C18" s="12">
        <f t="shared" si="2"/>
        <v>56930.322800000002</v>
      </c>
      <c r="D18" s="9" t="str">
        <f t="shared" si="3"/>
        <v>vis</v>
      </c>
      <c r="E18" s="48">
        <f>VLOOKUP(C18,Active!C$21:E$973,3,FALSE)</f>
        <v>25581.694752491854</v>
      </c>
      <c r="F18" s="16" t="s">
        <v>54</v>
      </c>
      <c r="G18" s="9" t="str">
        <f t="shared" si="4"/>
        <v>56930.3228</v>
      </c>
      <c r="H18" s="12">
        <f t="shared" si="5"/>
        <v>25581.5</v>
      </c>
      <c r="I18" s="49" t="s">
        <v>94</v>
      </c>
      <c r="J18" s="50" t="s">
        <v>95</v>
      </c>
      <c r="K18" s="49" t="s">
        <v>96</v>
      </c>
      <c r="L18" s="49" t="s">
        <v>97</v>
      </c>
      <c r="M18" s="50" t="s">
        <v>72</v>
      </c>
      <c r="N18" s="50" t="s">
        <v>66</v>
      </c>
      <c r="O18" s="51" t="s">
        <v>83</v>
      </c>
      <c r="P18" s="52" t="s">
        <v>93</v>
      </c>
    </row>
    <row r="19" spans="1:16" x14ac:dyDescent="0.2">
      <c r="B19" s="16"/>
      <c r="F19" s="16"/>
    </row>
    <row r="20" spans="1:16" x14ac:dyDescent="0.2">
      <c r="B20" s="16"/>
      <c r="F20" s="16"/>
    </row>
    <row r="21" spans="1:16" x14ac:dyDescent="0.2">
      <c r="B21" s="16"/>
      <c r="F21" s="16"/>
    </row>
    <row r="22" spans="1:16" x14ac:dyDescent="0.2">
      <c r="B22" s="16"/>
      <c r="F22" s="16"/>
    </row>
    <row r="23" spans="1:16" x14ac:dyDescent="0.2">
      <c r="B23" s="16"/>
      <c r="F23" s="16"/>
    </row>
    <row r="24" spans="1:16" x14ac:dyDescent="0.2">
      <c r="B24" s="16"/>
      <c r="F24" s="16"/>
    </row>
    <row r="25" spans="1:16" x14ac:dyDescent="0.2">
      <c r="B25" s="16"/>
      <c r="F25" s="16"/>
    </row>
    <row r="26" spans="1:16" x14ac:dyDescent="0.2">
      <c r="B26" s="16"/>
      <c r="F26" s="16"/>
    </row>
    <row r="27" spans="1:16" x14ac:dyDescent="0.2">
      <c r="B27" s="16"/>
      <c r="F27" s="16"/>
    </row>
    <row r="28" spans="1:16" x14ac:dyDescent="0.2">
      <c r="B28" s="16"/>
      <c r="F28" s="16"/>
    </row>
    <row r="29" spans="1:16" x14ac:dyDescent="0.2">
      <c r="B29" s="16"/>
      <c r="F29" s="16"/>
    </row>
    <row r="30" spans="1:16" x14ac:dyDescent="0.2">
      <c r="B30" s="16"/>
      <c r="F30" s="16"/>
    </row>
    <row r="31" spans="1:16" x14ac:dyDescent="0.2">
      <c r="B31" s="16"/>
      <c r="F31" s="16"/>
    </row>
    <row r="32" spans="1:16" x14ac:dyDescent="0.2">
      <c r="B32" s="16"/>
      <c r="F32" s="16"/>
    </row>
    <row r="33" spans="2:6" x14ac:dyDescent="0.2">
      <c r="B33" s="16"/>
      <c r="F33" s="16"/>
    </row>
    <row r="34" spans="2:6" x14ac:dyDescent="0.2">
      <c r="B34" s="16"/>
      <c r="F34" s="16"/>
    </row>
    <row r="35" spans="2:6" x14ac:dyDescent="0.2">
      <c r="B35" s="16"/>
      <c r="F35" s="16"/>
    </row>
    <row r="36" spans="2:6" x14ac:dyDescent="0.2">
      <c r="B36" s="16"/>
      <c r="F36" s="16"/>
    </row>
    <row r="37" spans="2:6" x14ac:dyDescent="0.2">
      <c r="B37" s="16"/>
      <c r="F37" s="16"/>
    </row>
    <row r="38" spans="2:6" x14ac:dyDescent="0.2">
      <c r="B38" s="16"/>
      <c r="F38" s="16"/>
    </row>
    <row r="39" spans="2:6" x14ac:dyDescent="0.2">
      <c r="B39" s="16"/>
      <c r="F39" s="16"/>
    </row>
    <row r="40" spans="2:6" x14ac:dyDescent="0.2">
      <c r="B40" s="16"/>
      <c r="F40" s="16"/>
    </row>
    <row r="41" spans="2:6" x14ac:dyDescent="0.2">
      <c r="B41" s="16"/>
      <c r="F41" s="16"/>
    </row>
    <row r="42" spans="2:6" x14ac:dyDescent="0.2">
      <c r="B42" s="16"/>
      <c r="F42" s="16"/>
    </row>
    <row r="43" spans="2:6" x14ac:dyDescent="0.2">
      <c r="B43" s="16"/>
      <c r="F43" s="16"/>
    </row>
    <row r="44" spans="2:6" x14ac:dyDescent="0.2">
      <c r="B44" s="16"/>
      <c r="F44" s="16"/>
    </row>
    <row r="45" spans="2:6" x14ac:dyDescent="0.2">
      <c r="B45" s="16"/>
      <c r="F45" s="16"/>
    </row>
    <row r="46" spans="2:6" x14ac:dyDescent="0.2">
      <c r="B46" s="16"/>
      <c r="F46" s="16"/>
    </row>
    <row r="47" spans="2:6" x14ac:dyDescent="0.2">
      <c r="B47" s="16"/>
      <c r="F47" s="16"/>
    </row>
    <row r="48" spans="2:6" x14ac:dyDescent="0.2">
      <c r="B48" s="16"/>
      <c r="F48" s="16"/>
    </row>
    <row r="49" spans="2:6" x14ac:dyDescent="0.2">
      <c r="B49" s="16"/>
      <c r="F49" s="16"/>
    </row>
    <row r="50" spans="2:6" x14ac:dyDescent="0.2">
      <c r="B50" s="16"/>
      <c r="F50" s="16"/>
    </row>
    <row r="51" spans="2:6" x14ac:dyDescent="0.2">
      <c r="B51" s="16"/>
      <c r="F51" s="16"/>
    </row>
    <row r="52" spans="2:6" x14ac:dyDescent="0.2">
      <c r="B52" s="16"/>
      <c r="F52" s="16"/>
    </row>
    <row r="53" spans="2:6" x14ac:dyDescent="0.2">
      <c r="B53" s="16"/>
      <c r="F53" s="16"/>
    </row>
    <row r="54" spans="2:6" x14ac:dyDescent="0.2">
      <c r="B54" s="16"/>
      <c r="F54" s="16"/>
    </row>
    <row r="55" spans="2:6" x14ac:dyDescent="0.2">
      <c r="B55" s="16"/>
      <c r="F55" s="16"/>
    </row>
    <row r="56" spans="2:6" x14ac:dyDescent="0.2">
      <c r="B56" s="16"/>
      <c r="F56" s="16"/>
    </row>
    <row r="57" spans="2:6" x14ac:dyDescent="0.2">
      <c r="B57" s="16"/>
      <c r="F57" s="16"/>
    </row>
    <row r="58" spans="2:6" x14ac:dyDescent="0.2">
      <c r="B58" s="16"/>
      <c r="F58" s="16"/>
    </row>
    <row r="59" spans="2:6" x14ac:dyDescent="0.2">
      <c r="B59" s="16"/>
      <c r="F59" s="16"/>
    </row>
    <row r="60" spans="2:6" x14ac:dyDescent="0.2">
      <c r="B60" s="16"/>
      <c r="F60" s="16"/>
    </row>
    <row r="61" spans="2:6" x14ac:dyDescent="0.2">
      <c r="B61" s="16"/>
      <c r="F61" s="16"/>
    </row>
    <row r="62" spans="2:6" x14ac:dyDescent="0.2">
      <c r="B62" s="16"/>
      <c r="F62" s="16"/>
    </row>
    <row r="63" spans="2:6" x14ac:dyDescent="0.2">
      <c r="B63" s="16"/>
      <c r="F63" s="16"/>
    </row>
    <row r="64" spans="2:6" x14ac:dyDescent="0.2">
      <c r="B64" s="16"/>
      <c r="F64" s="16"/>
    </row>
    <row r="65" spans="2:6" x14ac:dyDescent="0.2">
      <c r="B65" s="16"/>
      <c r="F65" s="16"/>
    </row>
    <row r="66" spans="2:6" x14ac:dyDescent="0.2">
      <c r="B66" s="16"/>
      <c r="F66" s="16"/>
    </row>
    <row r="67" spans="2:6" x14ac:dyDescent="0.2">
      <c r="B67" s="16"/>
      <c r="F67" s="16"/>
    </row>
    <row r="68" spans="2:6" x14ac:dyDescent="0.2">
      <c r="B68" s="16"/>
      <c r="F68" s="16"/>
    </row>
    <row r="69" spans="2:6" x14ac:dyDescent="0.2">
      <c r="B69" s="16"/>
      <c r="F69" s="16"/>
    </row>
    <row r="70" spans="2:6" x14ac:dyDescent="0.2">
      <c r="B70" s="16"/>
      <c r="F70" s="16"/>
    </row>
    <row r="71" spans="2:6" x14ac:dyDescent="0.2">
      <c r="B71" s="16"/>
      <c r="F71" s="16"/>
    </row>
    <row r="72" spans="2:6" x14ac:dyDescent="0.2">
      <c r="B72" s="16"/>
      <c r="F72" s="16"/>
    </row>
    <row r="73" spans="2:6" x14ac:dyDescent="0.2">
      <c r="B73" s="16"/>
      <c r="F73" s="16"/>
    </row>
    <row r="74" spans="2:6" x14ac:dyDescent="0.2">
      <c r="B74" s="16"/>
      <c r="F74" s="16"/>
    </row>
    <row r="75" spans="2:6" x14ac:dyDescent="0.2">
      <c r="B75" s="16"/>
      <c r="F75" s="16"/>
    </row>
    <row r="76" spans="2:6" x14ac:dyDescent="0.2">
      <c r="B76" s="16"/>
      <c r="F76" s="16"/>
    </row>
    <row r="77" spans="2:6" x14ac:dyDescent="0.2">
      <c r="B77" s="16"/>
      <c r="F77" s="16"/>
    </row>
    <row r="78" spans="2:6" x14ac:dyDescent="0.2">
      <c r="B78" s="16"/>
      <c r="F78" s="16"/>
    </row>
    <row r="79" spans="2:6" x14ac:dyDescent="0.2">
      <c r="B79" s="16"/>
      <c r="F79" s="16"/>
    </row>
    <row r="80" spans="2:6" x14ac:dyDescent="0.2">
      <c r="B80" s="16"/>
      <c r="F80" s="16"/>
    </row>
    <row r="81" spans="2:6" x14ac:dyDescent="0.2">
      <c r="B81" s="16"/>
      <c r="F81" s="16"/>
    </row>
    <row r="82" spans="2:6" x14ac:dyDescent="0.2">
      <c r="B82" s="16"/>
      <c r="F82" s="16"/>
    </row>
    <row r="83" spans="2:6" x14ac:dyDescent="0.2">
      <c r="B83" s="16"/>
      <c r="F83" s="16"/>
    </row>
    <row r="84" spans="2:6" x14ac:dyDescent="0.2">
      <c r="B84" s="16"/>
      <c r="F84" s="16"/>
    </row>
    <row r="85" spans="2:6" x14ac:dyDescent="0.2">
      <c r="B85" s="16"/>
      <c r="F85" s="16"/>
    </row>
    <row r="86" spans="2:6" x14ac:dyDescent="0.2">
      <c r="B86" s="16"/>
      <c r="F86" s="16"/>
    </row>
    <row r="87" spans="2:6" x14ac:dyDescent="0.2">
      <c r="B87" s="16"/>
      <c r="F87" s="16"/>
    </row>
    <row r="88" spans="2:6" x14ac:dyDescent="0.2">
      <c r="B88" s="16"/>
      <c r="F88" s="16"/>
    </row>
    <row r="89" spans="2:6" x14ac:dyDescent="0.2">
      <c r="B89" s="16"/>
      <c r="F89" s="16"/>
    </row>
    <row r="90" spans="2:6" x14ac:dyDescent="0.2">
      <c r="B90" s="16"/>
      <c r="F90" s="16"/>
    </row>
    <row r="91" spans="2:6" x14ac:dyDescent="0.2">
      <c r="B91" s="16"/>
      <c r="F91" s="16"/>
    </row>
    <row r="92" spans="2:6" x14ac:dyDescent="0.2">
      <c r="B92" s="16"/>
      <c r="F92" s="16"/>
    </row>
    <row r="93" spans="2:6" x14ac:dyDescent="0.2">
      <c r="B93" s="16"/>
      <c r="F93" s="16"/>
    </row>
    <row r="94" spans="2:6" x14ac:dyDescent="0.2">
      <c r="B94" s="16"/>
      <c r="F94" s="16"/>
    </row>
    <row r="95" spans="2:6" x14ac:dyDescent="0.2">
      <c r="B95" s="16"/>
      <c r="F95" s="16"/>
    </row>
    <row r="96" spans="2: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</sheetData>
  <phoneticPr fontId="7" type="noConversion"/>
  <hyperlinks>
    <hyperlink ref="P11" r:id="rId1" display="http://www.bav-astro.de/sfs/BAVM_link.php?BAVMnr=172"/>
    <hyperlink ref="P12" r:id="rId2" display="http://www.bav-astro.de/sfs/BAVM_link.php?BAVMnr=173"/>
    <hyperlink ref="P13" r:id="rId3" display="http://www.bav-astro.de/sfs/BAVM_link.php?BAVMnr=183"/>
    <hyperlink ref="P14" r:id="rId4" display="http://www.bav-astro.de/sfs/BAVM_link.php?BAVMnr=183"/>
    <hyperlink ref="P15" r:id="rId5" display="http://www.bav-astro.de/sfs/BAVM_link.php?BAVMnr=220"/>
    <hyperlink ref="P16" r:id="rId6" display="http://www.bav-astro.de/sfs/BAVM_link.php?BAVMnr=220"/>
    <hyperlink ref="P17" r:id="rId7" display="http://www.bav-astro.de/sfs/BAVM_link.php?BAVMnr=239"/>
    <hyperlink ref="P18" r:id="rId8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2024-02-02T03:41:45Z</dcterms:modified>
</cp:coreProperties>
</file>