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CBEF6B5-16EB-43B6-B010-AF833C8D8D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BAV" sheetId="3" r:id="rId2"/>
  </sheets>
  <calcPr calcId="181029"/>
</workbook>
</file>

<file path=xl/calcChain.xml><?xml version="1.0" encoding="utf-8"?>
<calcChain xmlns="http://schemas.openxmlformats.org/spreadsheetml/2006/main">
  <c r="E22" i="2" l="1"/>
  <c r="F22" i="2" s="1"/>
  <c r="Q22" i="2"/>
  <c r="F14" i="2"/>
  <c r="Q35" i="2"/>
  <c r="C7" i="2"/>
  <c r="E35" i="2"/>
  <c r="F35" i="2" s="1"/>
  <c r="U35" i="2" s="1"/>
  <c r="D9" i="2"/>
  <c r="C9" i="2"/>
  <c r="E23" i="2"/>
  <c r="F23" i="2" s="1"/>
  <c r="G23" i="2" s="1"/>
  <c r="K23" i="2" s="1"/>
  <c r="E24" i="2"/>
  <c r="F24" i="2"/>
  <c r="G24" i="2" s="1"/>
  <c r="K24" i="2" s="1"/>
  <c r="E25" i="2"/>
  <c r="F25" i="2" s="1"/>
  <c r="G25" i="2" s="1"/>
  <c r="K25" i="2" s="1"/>
  <c r="E26" i="2"/>
  <c r="F26" i="2"/>
  <c r="G26" i="2" s="1"/>
  <c r="J26" i="2" s="1"/>
  <c r="E27" i="2"/>
  <c r="F27" i="2" s="1"/>
  <c r="G27" i="2" s="1"/>
  <c r="J27" i="2" s="1"/>
  <c r="E28" i="2"/>
  <c r="F28" i="2" s="1"/>
  <c r="G28" i="2" s="1"/>
  <c r="J28" i="2" s="1"/>
  <c r="E29" i="2"/>
  <c r="F29" i="2" s="1"/>
  <c r="G29" i="2" s="1"/>
  <c r="K29" i="2" s="1"/>
  <c r="E30" i="2"/>
  <c r="E16" i="3" s="1"/>
  <c r="E31" i="2"/>
  <c r="F31" i="2"/>
  <c r="G31" i="2" s="1"/>
  <c r="J31" i="2" s="1"/>
  <c r="E32" i="2"/>
  <c r="F32" i="2" s="1"/>
  <c r="G32" i="2" s="1"/>
  <c r="J32" i="2" s="1"/>
  <c r="E33" i="2"/>
  <c r="E19" i="3" s="1"/>
  <c r="E34" i="2"/>
  <c r="F34" i="2" s="1"/>
  <c r="U34" i="2" s="1"/>
  <c r="Q23" i="2"/>
  <c r="E21" i="2"/>
  <c r="F21" i="2" s="1"/>
  <c r="G21" i="2" s="1"/>
  <c r="H21" i="2" s="1"/>
  <c r="Q29" i="2"/>
  <c r="G20" i="3"/>
  <c r="C20" i="3"/>
  <c r="G19" i="3"/>
  <c r="C19" i="3"/>
  <c r="G18" i="3"/>
  <c r="C18" i="3"/>
  <c r="E18" i="3"/>
  <c r="G17" i="3"/>
  <c r="C17" i="3"/>
  <c r="E17" i="3"/>
  <c r="G16" i="3"/>
  <c r="C16" i="3"/>
  <c r="G22" i="3"/>
  <c r="C22" i="3"/>
  <c r="G15" i="3"/>
  <c r="C15" i="3"/>
  <c r="E15" i="3"/>
  <c r="G14" i="3"/>
  <c r="C14" i="3"/>
  <c r="G13" i="3"/>
  <c r="C13" i="3"/>
  <c r="E13" i="3"/>
  <c r="G12" i="3"/>
  <c r="C12" i="3"/>
  <c r="G21" i="3"/>
  <c r="C21" i="3"/>
  <c r="E21" i="3"/>
  <c r="G23" i="3"/>
  <c r="C23" i="3"/>
  <c r="H20" i="3"/>
  <c r="D20" i="3"/>
  <c r="B20" i="3"/>
  <c r="A20" i="3"/>
  <c r="H19" i="3"/>
  <c r="B19" i="3"/>
  <c r="D19" i="3"/>
  <c r="A19" i="3"/>
  <c r="H18" i="3"/>
  <c r="D18" i="3"/>
  <c r="B18" i="3"/>
  <c r="A18" i="3"/>
  <c r="H17" i="3"/>
  <c r="B17" i="3"/>
  <c r="D17" i="3"/>
  <c r="A17" i="3"/>
  <c r="H16" i="3"/>
  <c r="D16" i="3"/>
  <c r="B16" i="3"/>
  <c r="A16" i="3"/>
  <c r="H22" i="3"/>
  <c r="B22" i="3"/>
  <c r="D22" i="3"/>
  <c r="A22" i="3"/>
  <c r="H15" i="3"/>
  <c r="D15" i="3"/>
  <c r="B15" i="3"/>
  <c r="A15" i="3"/>
  <c r="H14" i="3"/>
  <c r="B14" i="3"/>
  <c r="D14" i="3"/>
  <c r="A14" i="3"/>
  <c r="H13" i="3"/>
  <c r="D13" i="3"/>
  <c r="B13" i="3"/>
  <c r="A13" i="3"/>
  <c r="H12" i="3"/>
  <c r="B12" i="3"/>
  <c r="D12" i="3"/>
  <c r="A12" i="3"/>
  <c r="H21" i="3"/>
  <c r="D21" i="3"/>
  <c r="B21" i="3"/>
  <c r="A21" i="3"/>
  <c r="H23" i="3"/>
  <c r="B23" i="3"/>
  <c r="D23" i="3"/>
  <c r="A23" i="3"/>
  <c r="C17" i="2"/>
  <c r="Q21" i="2"/>
  <c r="Q24" i="2"/>
  <c r="Q25" i="2"/>
  <c r="Q26" i="2"/>
  <c r="Q27" i="2"/>
  <c r="Q28" i="2"/>
  <c r="Q31" i="2"/>
  <c r="Q32" i="2"/>
  <c r="Q33" i="2"/>
  <c r="Q30" i="2"/>
  <c r="Q34" i="2"/>
  <c r="F30" i="2" l="1"/>
  <c r="G30" i="2" s="1"/>
  <c r="F33" i="2"/>
  <c r="G33" i="2" s="1"/>
  <c r="J33" i="2" s="1"/>
  <c r="E20" i="3"/>
  <c r="E22" i="3"/>
  <c r="E14" i="3"/>
  <c r="E23" i="3"/>
  <c r="E12" i="3"/>
  <c r="F15" i="2"/>
  <c r="C12" i="2"/>
  <c r="C11" i="2"/>
  <c r="O21" i="2" l="1"/>
  <c r="O23" i="2"/>
  <c r="O27" i="2"/>
  <c r="O34" i="2"/>
  <c r="O26" i="2"/>
  <c r="O28" i="2"/>
  <c r="O31" i="2"/>
  <c r="O33" i="2"/>
  <c r="O25" i="2"/>
  <c r="C15" i="2"/>
  <c r="O22" i="2"/>
  <c r="O30" i="2"/>
  <c r="O32" i="2"/>
  <c r="O24" i="2"/>
  <c r="O29" i="2"/>
  <c r="O35" i="2"/>
  <c r="C16" i="2"/>
  <c r="D18" i="2" s="1"/>
  <c r="J30" i="2"/>
  <c r="F16" i="2" l="1"/>
  <c r="F18" i="2" s="1"/>
  <c r="C18" i="2"/>
  <c r="F17" i="2" l="1"/>
</calcChain>
</file>

<file path=xl/sharedStrings.xml><?xml version="1.0" encoding="utf-8"?>
<sst xmlns="http://schemas.openxmlformats.org/spreadsheetml/2006/main" count="192" uniqueCount="133">
  <si>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</si>
  <si>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</si>
  <si>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</si>
  <si>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</si>
  <si>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</si>
  <si>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</si>
  <si>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</si>
  <si>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</si>
  <si>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</si>
  <si>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</si>
  <si>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</si>
  <si>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</si>
  <si>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</si>
  <si>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</si>
  <si>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</si>
  <si>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</si>
  <si>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</si>
  <si>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</si>
  <si>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</si>
  <si>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</si>
  <si>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</si>
  <si>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</si>
  <si>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</si>
  <si>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</si>
  <si>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</si>
  <si>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</si>
  <si>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</si>
  <si>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</si>
  <si>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</si>
  <si>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EW/KW</t>
  </si>
  <si>
    <t>IBVS 5371</t>
  </si>
  <si>
    <t>II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</si>
  <si>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</si>
  <si>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</si>
  <si>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</si>
  <si>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</si>
  <si>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</si>
  <si>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</si>
  <si>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IBVS 5761</t>
  </si>
  <si>
    <t>I</t>
  </si>
  <si>
    <t>Start of linear fit &gt;&gt;&gt;&gt;&gt;&gt;&gt;&gt;&gt;&gt;&gt;&gt;&gt;&gt;&gt;&gt;&gt;&gt;&gt;&gt;&gt;</t>
  </si>
  <si>
    <t>IBVS 5874</t>
  </si>
  <si>
    <t>Add cycle</t>
  </si>
  <si>
    <t>Old Cycle</t>
  </si>
  <si>
    <t>IBVS 6010</t>
  </si>
  <si>
    <t>V0874 Cyg / GSC 02137-02491</t>
  </si>
  <si>
    <t>OEJV 0160</t>
  </si>
  <si>
    <t>IBVS 6070</t>
  </si>
  <si>
    <t>BAD?</t>
  </si>
  <si>
    <t>IBVS 5984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</si>
  <si>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</si>
  <si>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</si>
  <si>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</si>
  <si>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</si>
  <si>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</si>
  <si>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</si>
  <si>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</si>
  <si>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</si>
  <si>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</si>
  <si>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</si>
  <si>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</si>
  <si>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</si>
  <si>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2451811.4679 </t>
  </si>
  <si>
    <t> 23.09.2000 23:13 </t>
  </si>
  <si>
    <t> 0.0217 </t>
  </si>
  <si>
    <t>E </t>
  </si>
  <si>
    <t>?</t>
  </si>
  <si>
    <t> E.Blättler </t>
  </si>
  <si>
    <t> BBS 124 </t>
  </si>
  <si>
    <t>2452859.772 </t>
  </si>
  <si>
    <t> 08.08.2003 06:31 </t>
  </si>
  <si>
    <t> -0.018 </t>
  </si>
  <si>
    <t> R.Nelson </t>
  </si>
  <si>
    <t>IBVS 5493 </t>
  </si>
  <si>
    <t>2452862.737 </t>
  </si>
  <si>
    <t> 11.08.2003 05:41 </t>
  </si>
  <si>
    <t> -0.011 </t>
  </si>
  <si>
    <t>2453613.3919 </t>
  </si>
  <si>
    <t> 30.08.2005 21:24 </t>
  </si>
  <si>
    <t> 0.0460 </t>
  </si>
  <si>
    <t>C </t>
  </si>
  <si>
    <t>-I</t>
  </si>
  <si>
    <t> F.Agerer </t>
  </si>
  <si>
    <t>BAVM 178 </t>
  </si>
  <si>
    <t>2453934.4021 </t>
  </si>
  <si>
    <t> 17.07.2006 21:39 </t>
  </si>
  <si>
    <t>45493.5</t>
  </si>
  <si>
    <t> 0.0658 </t>
  </si>
  <si>
    <t> F. Agerer </t>
  </si>
  <si>
    <t>BAVM 183 </t>
  </si>
  <si>
    <t>2454631.5245 </t>
  </si>
  <si>
    <t> 14.06.2008 00:35 </t>
  </si>
  <si>
    <t>47143</t>
  </si>
  <si>
    <t> 0.0536 </t>
  </si>
  <si>
    <t>BAVM 201 </t>
  </si>
  <si>
    <t>2454708.4230 </t>
  </si>
  <si>
    <t> 29.08.2008 22:09 </t>
  </si>
  <si>
    <t>47325</t>
  </si>
  <si>
    <t> 0.0327 </t>
  </si>
  <si>
    <t>o</t>
  </si>
  <si>
    <t> U.Schmidt </t>
  </si>
  <si>
    <t>BAVM 203 </t>
  </si>
  <si>
    <t>2455451.4064 </t>
  </si>
  <si>
    <t> 11.09.2010 21:45 </t>
  </si>
  <si>
    <t>49083</t>
  </si>
  <si>
    <t> 0.0257 </t>
  </si>
  <si>
    <t>BAVM 215 </t>
  </si>
  <si>
    <t>2455712.4317 </t>
  </si>
  <si>
    <t> 30.05.2011 22:21 </t>
  </si>
  <si>
    <t>49700.5</t>
  </si>
  <si>
    <t> 0.0746 </t>
  </si>
  <si>
    <t>BAVM 220 </t>
  </si>
  <si>
    <t>2455831.35107 </t>
  </si>
  <si>
    <t> 26.09.2011 20:25 </t>
  </si>
  <si>
    <t>49982</t>
  </si>
  <si>
    <t> 0.02248 </t>
  </si>
  <si>
    <t> J.Trnka </t>
  </si>
  <si>
    <t>OEJV 0160 </t>
  </si>
  <si>
    <t>2456074.4202 </t>
  </si>
  <si>
    <t> 26.05.2012 22:05 </t>
  </si>
  <si>
    <t>50557</t>
  </si>
  <si>
    <t> 0.0771 </t>
  </si>
  <si>
    <t>BAVM 231 </t>
  </si>
  <si>
    <t>2456897.4245 </t>
  </si>
  <si>
    <t> 27.08.2014 22:11 </t>
  </si>
  <si>
    <t>52504.5</t>
  </si>
  <si>
    <t> 0.0019 </t>
  </si>
  <si>
    <t>BAVM 238 </t>
  </si>
  <si>
    <t>BAV 91 Feb 2024</t>
  </si>
  <si>
    <t xml:space="preserve">Mag </t>
  </si>
  <si>
    <t>Next ToM-P</t>
  </si>
  <si>
    <t>Next ToM-S</t>
  </si>
  <si>
    <t>12.85-13.31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</si>
</sst>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4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6" fillId="0" borderId="0" xfId="0" applyFont="1" applyAlignment="1"/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37" fillId="0" borderId="0" xfId="42" applyFont="1" applyAlignment="1">
      <alignment wrapText="1"/>
    </xf>
    <xf numFmtId="0" fontId="37" fillId="0" borderId="0" xfId="42" applyFont="1" applyAlignment="1">
      <alignment horizontal="center" wrapText="1"/>
    </xf>
    <xf numFmtId="0" fontId="37" fillId="0" borderId="0" xfId="42" applyFont="1" applyAlignment="1">
      <alignment horizontal="left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center"/>
    </xf>
    <xf numFmtId="0" fontId="40" fillId="0" borderId="20" xfId="0" applyFont="1" applyBorder="1" applyAlignment="1">
      <alignment horizontal="right" vertical="center"/>
    </xf>
    <xf numFmtId="0" fontId="40" fillId="0" borderId="23" xfId="0" applyFont="1" applyBorder="1" applyAlignment="1">
      <alignment horizontal="right" vertical="center"/>
    </xf>
    <xf numFmtId="0" fontId="6" fillId="25" borderId="18" xfId="0" applyFont="1" applyFill="1" applyBorder="1" applyAlignment="1">
      <alignment horizontal="right" vertical="center"/>
    </xf>
    <xf numFmtId="0" fontId="6" fillId="25" borderId="19" xfId="0" applyFont="1" applyFill="1" applyBorder="1" applyAlignment="1">
      <alignment horizontal="center" vertical="center"/>
    </xf>
    <xf numFmtId="0" fontId="41" fillId="0" borderId="21" xfId="0" applyFont="1" applyBorder="1" applyAlignment="1">
      <alignment horizontal="right" vertical="center"/>
    </xf>
    <xf numFmtId="0" fontId="42" fillId="0" borderId="21" xfId="0" applyFont="1" applyBorder="1" applyAlignment="1">
      <alignment horizontal="right" vertical="center"/>
    </xf>
    <xf numFmtId="22" fontId="42" fillId="0" borderId="21" xfId="0" applyNumberFormat="1" applyFont="1" applyBorder="1" applyAlignment="1">
      <alignment horizontal="right" vertical="center"/>
    </xf>
    <xf numFmtId="22" fontId="42" fillId="0" borderId="22" xfId="0" applyNumberFormat="1" applyFont="1" applyBorder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V0874 Cyg - O-C Diagr.</a:t>
            </a:r>
          </a:p>
        </c:rich>
      </c:tx>
      <c:layout>
        <c:manualLayout>
          <c:xMode val="edge"/>
          <c:yMode val="edge"/>
          <c:x val="0.36065608192418569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6568268577315"/>
          <c:y val="0.14634168126798494"/>
          <c:w val="0.8131154049655841"/>
          <c:h val="0.6615863507323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37556</c:v>
                </c:pt>
                <c:pt idx="2">
                  <c:v>49046.5</c:v>
                </c:pt>
                <c:pt idx="3">
                  <c:v>52052.5</c:v>
                </c:pt>
                <c:pt idx="4">
                  <c:v>52061</c:v>
                </c:pt>
                <c:pt idx="5">
                  <c:v>54213.5</c:v>
                </c:pt>
                <c:pt idx="6">
                  <c:v>55134</c:v>
                </c:pt>
                <c:pt idx="7">
                  <c:v>57133</c:v>
                </c:pt>
                <c:pt idx="8">
                  <c:v>57353.5</c:v>
                </c:pt>
                <c:pt idx="9">
                  <c:v>59484</c:v>
                </c:pt>
                <c:pt idx="10">
                  <c:v>60232.5</c:v>
                </c:pt>
                <c:pt idx="11">
                  <c:v>60573.5</c:v>
                </c:pt>
                <c:pt idx="12">
                  <c:v>61270.5</c:v>
                </c:pt>
                <c:pt idx="13">
                  <c:v>63630.5</c:v>
                </c:pt>
                <c:pt idx="14">
                  <c:v>65537.5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EE-4F59-8328-5B50CF99953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Active!$D$22:$D$44</c:f>
                <c:numCache>
                  <c:formatCode>General</c:formatCode>
                  <c:ptCount val="23"/>
                  <c:pt idx="0">
                    <c:v>5.5999999999999999E-3</c:v>
                  </c:pt>
                  <c:pt idx="1">
                    <c:v>0</c:v>
                  </c:pt>
                  <c:pt idx="2">
                    <c:v>1E-3</c:v>
                  </c:pt>
                  <c:pt idx="3">
                    <c:v>1E-4</c:v>
                  </c:pt>
                  <c:pt idx="4">
                    <c:v>1.8E-3</c:v>
                  </c:pt>
                  <c:pt idx="5">
                    <c:v>2.9999999999999997E-4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2E-3</c:v>
                  </c:pt>
                  <c:pt idx="9">
                    <c:v>2.2000000000000001E-3</c:v>
                  </c:pt>
                  <c:pt idx="10">
                    <c:v>1E-4</c:v>
                  </c:pt>
                  <c:pt idx="11">
                    <c:v>2.3999999999999998E-3</c:v>
                  </c:pt>
                  <c:pt idx="12">
                    <c:v>1.6000000000000001E-3</c:v>
                  </c:pt>
                  <c:pt idx="13">
                    <c:v>2.0000000000000001E-4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37556</c:v>
                </c:pt>
                <c:pt idx="2">
                  <c:v>49046.5</c:v>
                </c:pt>
                <c:pt idx="3">
                  <c:v>52052.5</c:v>
                </c:pt>
                <c:pt idx="4">
                  <c:v>52061</c:v>
                </c:pt>
                <c:pt idx="5">
                  <c:v>54213.5</c:v>
                </c:pt>
                <c:pt idx="6">
                  <c:v>55134</c:v>
                </c:pt>
                <c:pt idx="7">
                  <c:v>57133</c:v>
                </c:pt>
                <c:pt idx="8">
                  <c:v>57353.5</c:v>
                </c:pt>
                <c:pt idx="9">
                  <c:v>59484</c:v>
                </c:pt>
                <c:pt idx="10">
                  <c:v>60232.5</c:v>
                </c:pt>
                <c:pt idx="11">
                  <c:v>60573.5</c:v>
                </c:pt>
                <c:pt idx="12">
                  <c:v>61270.5</c:v>
                </c:pt>
                <c:pt idx="13">
                  <c:v>63630.5</c:v>
                </c:pt>
                <c:pt idx="14">
                  <c:v>65537.5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EE-4F59-8328-5B50CF99953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1.8E-3</c:v>
                  </c:pt>
                  <c:pt idx="6">
                    <c:v>2.9999999999999997E-4</c:v>
                  </c:pt>
                  <c:pt idx="7">
                    <c:v>1.1000000000000001E-3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2.2000000000000001E-3</c:v>
                  </c:pt>
                  <c:pt idx="11">
                    <c:v>1E-4</c:v>
                  </c:pt>
                  <c:pt idx="12">
                    <c:v>2.3999999999999998E-3</c:v>
                  </c:pt>
                  <c:pt idx="13">
                    <c:v>1.6000000000000001E-3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1.8E-3</c:v>
                  </c:pt>
                  <c:pt idx="6">
                    <c:v>2.9999999999999997E-4</c:v>
                  </c:pt>
                  <c:pt idx="7">
                    <c:v>1.1000000000000001E-3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2.2000000000000001E-3</c:v>
                  </c:pt>
                  <c:pt idx="11">
                    <c:v>1E-4</c:v>
                  </c:pt>
                  <c:pt idx="12">
                    <c:v>2.3999999999999998E-3</c:v>
                  </c:pt>
                  <c:pt idx="13">
                    <c:v>1.6000000000000001E-3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37556</c:v>
                </c:pt>
                <c:pt idx="2">
                  <c:v>49046.5</c:v>
                </c:pt>
                <c:pt idx="3">
                  <c:v>52052.5</c:v>
                </c:pt>
                <c:pt idx="4">
                  <c:v>52061</c:v>
                </c:pt>
                <c:pt idx="5">
                  <c:v>54213.5</c:v>
                </c:pt>
                <c:pt idx="6">
                  <c:v>55134</c:v>
                </c:pt>
                <c:pt idx="7">
                  <c:v>57133</c:v>
                </c:pt>
                <c:pt idx="8">
                  <c:v>57353.5</c:v>
                </c:pt>
                <c:pt idx="9">
                  <c:v>59484</c:v>
                </c:pt>
                <c:pt idx="10">
                  <c:v>60232.5</c:v>
                </c:pt>
                <c:pt idx="11">
                  <c:v>60573.5</c:v>
                </c:pt>
                <c:pt idx="12">
                  <c:v>61270.5</c:v>
                </c:pt>
                <c:pt idx="13">
                  <c:v>63630.5</c:v>
                </c:pt>
                <c:pt idx="14">
                  <c:v>65537.5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5">
                  <c:v>4.0814407562720589E-2</c:v>
                </c:pt>
                <c:pt idx="6">
                  <c:v>4.1038409181055613E-2</c:v>
                </c:pt>
                <c:pt idx="7">
                  <c:v>4.3457941232190933E-2</c:v>
                </c:pt>
                <c:pt idx="9">
                  <c:v>5.0883664014691021E-2</c:v>
                </c:pt>
                <c:pt idx="10">
                  <c:v>4.8517140625335742E-2</c:v>
                </c:pt>
                <c:pt idx="11">
                  <c:v>4.9471262893348467E-2</c:v>
                </c:pt>
                <c:pt idx="12">
                  <c:v>5.0754146264807787E-2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EE-4F59-8328-5B50CF99953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1.8E-3</c:v>
                  </c:pt>
                  <c:pt idx="6">
                    <c:v>2.9999999999999997E-4</c:v>
                  </c:pt>
                  <c:pt idx="7">
                    <c:v>1.1000000000000001E-3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2.2000000000000001E-3</c:v>
                  </c:pt>
                  <c:pt idx="11">
                    <c:v>1E-4</c:v>
                  </c:pt>
                  <c:pt idx="12">
                    <c:v>2.3999999999999998E-3</c:v>
                  </c:pt>
                  <c:pt idx="13">
                    <c:v>1.6000000000000001E-3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1.8E-3</c:v>
                  </c:pt>
                  <c:pt idx="6">
                    <c:v>2.9999999999999997E-4</c:v>
                  </c:pt>
                  <c:pt idx="7">
                    <c:v>1.1000000000000001E-3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2.2000000000000001E-3</c:v>
                  </c:pt>
                  <c:pt idx="11">
                    <c:v>1E-4</c:v>
                  </c:pt>
                  <c:pt idx="12">
                    <c:v>2.3999999999999998E-3</c:v>
                  </c:pt>
                  <c:pt idx="13">
                    <c:v>1.6000000000000001E-3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37556</c:v>
                </c:pt>
                <c:pt idx="2">
                  <c:v>49046.5</c:v>
                </c:pt>
                <c:pt idx="3">
                  <c:v>52052.5</c:v>
                </c:pt>
                <c:pt idx="4">
                  <c:v>52061</c:v>
                </c:pt>
                <c:pt idx="5">
                  <c:v>54213.5</c:v>
                </c:pt>
                <c:pt idx="6">
                  <c:v>55134</c:v>
                </c:pt>
                <c:pt idx="7">
                  <c:v>57133</c:v>
                </c:pt>
                <c:pt idx="8">
                  <c:v>57353.5</c:v>
                </c:pt>
                <c:pt idx="9">
                  <c:v>59484</c:v>
                </c:pt>
                <c:pt idx="10">
                  <c:v>60232.5</c:v>
                </c:pt>
                <c:pt idx="11">
                  <c:v>60573.5</c:v>
                </c:pt>
                <c:pt idx="12">
                  <c:v>61270.5</c:v>
                </c:pt>
                <c:pt idx="13">
                  <c:v>63630.5</c:v>
                </c:pt>
                <c:pt idx="14">
                  <c:v>65537.5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">
                  <c:v>2.7239158887823578E-2</c:v>
                </c:pt>
                <c:pt idx="3">
                  <c:v>3.5364819414098747E-2</c:v>
                </c:pt>
                <c:pt idx="4">
                  <c:v>3.6618738355173264E-2</c:v>
                </c:pt>
                <c:pt idx="8">
                  <c:v>4.6032131736865267E-2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EE-4F59-8328-5B50CF99953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1.8E-3</c:v>
                  </c:pt>
                  <c:pt idx="6">
                    <c:v>2.9999999999999997E-4</c:v>
                  </c:pt>
                  <c:pt idx="7">
                    <c:v>1.1000000000000001E-3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2.2000000000000001E-3</c:v>
                  </c:pt>
                  <c:pt idx="11">
                    <c:v>1E-4</c:v>
                  </c:pt>
                  <c:pt idx="12">
                    <c:v>2.3999999999999998E-3</c:v>
                  </c:pt>
                  <c:pt idx="13">
                    <c:v>1.6000000000000001E-3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1.8E-3</c:v>
                  </c:pt>
                  <c:pt idx="6">
                    <c:v>2.9999999999999997E-4</c:v>
                  </c:pt>
                  <c:pt idx="7">
                    <c:v>1.1000000000000001E-3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2.2000000000000001E-3</c:v>
                  </c:pt>
                  <c:pt idx="11">
                    <c:v>1E-4</c:v>
                  </c:pt>
                  <c:pt idx="12">
                    <c:v>2.3999999999999998E-3</c:v>
                  </c:pt>
                  <c:pt idx="13">
                    <c:v>1.6000000000000001E-3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37556</c:v>
                </c:pt>
                <c:pt idx="2">
                  <c:v>49046.5</c:v>
                </c:pt>
                <c:pt idx="3">
                  <c:v>52052.5</c:v>
                </c:pt>
                <c:pt idx="4">
                  <c:v>52061</c:v>
                </c:pt>
                <c:pt idx="5">
                  <c:v>54213.5</c:v>
                </c:pt>
                <c:pt idx="6">
                  <c:v>55134</c:v>
                </c:pt>
                <c:pt idx="7">
                  <c:v>57133</c:v>
                </c:pt>
                <c:pt idx="8">
                  <c:v>57353.5</c:v>
                </c:pt>
                <c:pt idx="9">
                  <c:v>59484</c:v>
                </c:pt>
                <c:pt idx="10">
                  <c:v>60232.5</c:v>
                </c:pt>
                <c:pt idx="11">
                  <c:v>60573.5</c:v>
                </c:pt>
                <c:pt idx="12">
                  <c:v>61270.5</c:v>
                </c:pt>
                <c:pt idx="13">
                  <c:v>63630.5</c:v>
                </c:pt>
                <c:pt idx="14">
                  <c:v>65537.5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EE-4F59-8328-5B50CF99953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1.8E-3</c:v>
                  </c:pt>
                  <c:pt idx="6">
                    <c:v>2.9999999999999997E-4</c:v>
                  </c:pt>
                  <c:pt idx="7">
                    <c:v>1.1000000000000001E-3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2.2000000000000001E-3</c:v>
                  </c:pt>
                  <c:pt idx="11">
                    <c:v>1E-4</c:v>
                  </c:pt>
                  <c:pt idx="12">
                    <c:v>2.3999999999999998E-3</c:v>
                  </c:pt>
                  <c:pt idx="13">
                    <c:v>1.6000000000000001E-3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1.8E-3</c:v>
                  </c:pt>
                  <c:pt idx="6">
                    <c:v>2.9999999999999997E-4</c:v>
                  </c:pt>
                  <c:pt idx="7">
                    <c:v>1.1000000000000001E-3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2.2000000000000001E-3</c:v>
                  </c:pt>
                  <c:pt idx="11">
                    <c:v>1E-4</c:v>
                  </c:pt>
                  <c:pt idx="12">
                    <c:v>2.3999999999999998E-3</c:v>
                  </c:pt>
                  <c:pt idx="13">
                    <c:v>1.6000000000000001E-3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37556</c:v>
                </c:pt>
                <c:pt idx="2">
                  <c:v>49046.5</c:v>
                </c:pt>
                <c:pt idx="3">
                  <c:v>52052.5</c:v>
                </c:pt>
                <c:pt idx="4">
                  <c:v>52061</c:v>
                </c:pt>
                <c:pt idx="5">
                  <c:v>54213.5</c:v>
                </c:pt>
                <c:pt idx="6">
                  <c:v>55134</c:v>
                </c:pt>
                <c:pt idx="7">
                  <c:v>57133</c:v>
                </c:pt>
                <c:pt idx="8">
                  <c:v>57353.5</c:v>
                </c:pt>
                <c:pt idx="9">
                  <c:v>59484</c:v>
                </c:pt>
                <c:pt idx="10">
                  <c:v>60232.5</c:v>
                </c:pt>
                <c:pt idx="11">
                  <c:v>60573.5</c:v>
                </c:pt>
                <c:pt idx="12">
                  <c:v>61270.5</c:v>
                </c:pt>
                <c:pt idx="13">
                  <c:v>63630.5</c:v>
                </c:pt>
                <c:pt idx="14">
                  <c:v>65537.5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EE-4F59-8328-5B50CF99953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1.8E-3</c:v>
                  </c:pt>
                  <c:pt idx="6">
                    <c:v>2.9999999999999997E-4</c:v>
                  </c:pt>
                  <c:pt idx="7">
                    <c:v>1.1000000000000001E-3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2.2000000000000001E-3</c:v>
                  </c:pt>
                  <c:pt idx="11">
                    <c:v>1E-4</c:v>
                  </c:pt>
                  <c:pt idx="12">
                    <c:v>2.3999999999999998E-3</c:v>
                  </c:pt>
                  <c:pt idx="13">
                    <c:v>1.6000000000000001E-3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1.8E-3</c:v>
                  </c:pt>
                  <c:pt idx="6">
                    <c:v>2.9999999999999997E-4</c:v>
                  </c:pt>
                  <c:pt idx="7">
                    <c:v>1.1000000000000001E-3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2.2000000000000001E-3</c:v>
                  </c:pt>
                  <c:pt idx="11">
                    <c:v>1E-4</c:v>
                  </c:pt>
                  <c:pt idx="12">
                    <c:v>2.3999999999999998E-3</c:v>
                  </c:pt>
                  <c:pt idx="13">
                    <c:v>1.6000000000000001E-3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37556</c:v>
                </c:pt>
                <c:pt idx="2">
                  <c:v>49046.5</c:v>
                </c:pt>
                <c:pt idx="3">
                  <c:v>52052.5</c:v>
                </c:pt>
                <c:pt idx="4">
                  <c:v>52061</c:v>
                </c:pt>
                <c:pt idx="5">
                  <c:v>54213.5</c:v>
                </c:pt>
                <c:pt idx="6">
                  <c:v>55134</c:v>
                </c:pt>
                <c:pt idx="7">
                  <c:v>57133</c:v>
                </c:pt>
                <c:pt idx="8">
                  <c:v>57353.5</c:v>
                </c:pt>
                <c:pt idx="9">
                  <c:v>59484</c:v>
                </c:pt>
                <c:pt idx="10">
                  <c:v>60232.5</c:v>
                </c:pt>
                <c:pt idx="11">
                  <c:v>60573.5</c:v>
                </c:pt>
                <c:pt idx="12">
                  <c:v>61270.5</c:v>
                </c:pt>
                <c:pt idx="13">
                  <c:v>63630.5</c:v>
                </c:pt>
                <c:pt idx="14">
                  <c:v>65537.5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EE-4F59-8328-5B50CF99953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37556</c:v>
                </c:pt>
                <c:pt idx="2">
                  <c:v>49046.5</c:v>
                </c:pt>
                <c:pt idx="3">
                  <c:v>52052.5</c:v>
                </c:pt>
                <c:pt idx="4">
                  <c:v>52061</c:v>
                </c:pt>
                <c:pt idx="5">
                  <c:v>54213.5</c:v>
                </c:pt>
                <c:pt idx="6">
                  <c:v>55134</c:v>
                </c:pt>
                <c:pt idx="7">
                  <c:v>57133</c:v>
                </c:pt>
                <c:pt idx="8">
                  <c:v>57353.5</c:v>
                </c:pt>
                <c:pt idx="9">
                  <c:v>59484</c:v>
                </c:pt>
                <c:pt idx="10">
                  <c:v>60232.5</c:v>
                </c:pt>
                <c:pt idx="11">
                  <c:v>60573.5</c:v>
                </c:pt>
                <c:pt idx="12">
                  <c:v>61270.5</c:v>
                </c:pt>
                <c:pt idx="13">
                  <c:v>63630.5</c:v>
                </c:pt>
                <c:pt idx="14">
                  <c:v>65537.5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-5.8691756696426824E-2</c:v>
                </c:pt>
                <c:pt idx="1">
                  <c:v>9.0549459104326199E-3</c:v>
                </c:pt>
                <c:pt idx="2">
                  <c:v>2.9782485752378469E-2</c:v>
                </c:pt>
                <c:pt idx="3">
                  <c:v>3.5204963866027943E-2</c:v>
                </c:pt>
                <c:pt idx="4">
                  <c:v>3.5220296887972728E-2</c:v>
                </c:pt>
                <c:pt idx="5">
                  <c:v>3.910315920987243E-2</c:v>
                </c:pt>
                <c:pt idx="6">
                  <c:v>4.0763635292245796E-2</c:v>
                </c:pt>
                <c:pt idx="7">
                  <c:v>4.4369601276672034E-2</c:v>
                </c:pt>
                <c:pt idx="8">
                  <c:v>4.476735790476908E-2</c:v>
                </c:pt>
                <c:pt idx="9">
                  <c:v>4.8610534758105804E-2</c:v>
                </c:pt>
                <c:pt idx="10">
                  <c:v>4.9960742631714135E-2</c:v>
                </c:pt>
                <c:pt idx="11">
                  <c:v>5.0575867394440165E-2</c:v>
                </c:pt>
                <c:pt idx="12">
                  <c:v>5.1833175193912444E-2</c:v>
                </c:pt>
                <c:pt idx="13">
                  <c:v>5.6090343639758337E-2</c:v>
                </c:pt>
                <c:pt idx="14">
                  <c:v>5.9530352210193989E-2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EE-4F59-8328-5B50CF99953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37556</c:v>
                </c:pt>
                <c:pt idx="2">
                  <c:v>49046.5</c:v>
                </c:pt>
                <c:pt idx="3">
                  <c:v>52052.5</c:v>
                </c:pt>
                <c:pt idx="4">
                  <c:v>52061</c:v>
                </c:pt>
                <c:pt idx="5">
                  <c:v>54213.5</c:v>
                </c:pt>
                <c:pt idx="6">
                  <c:v>55134</c:v>
                </c:pt>
                <c:pt idx="7">
                  <c:v>57133</c:v>
                </c:pt>
                <c:pt idx="8">
                  <c:v>57353.5</c:v>
                </c:pt>
                <c:pt idx="9">
                  <c:v>59484</c:v>
                </c:pt>
                <c:pt idx="10">
                  <c:v>60232.5</c:v>
                </c:pt>
                <c:pt idx="11">
                  <c:v>60573.5</c:v>
                </c:pt>
                <c:pt idx="12">
                  <c:v>61270.5</c:v>
                </c:pt>
                <c:pt idx="13">
                  <c:v>63630.5</c:v>
                </c:pt>
                <c:pt idx="14">
                  <c:v>65537.5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3">
                  <c:v>4.1970652331656311E-2</c:v>
                </c:pt>
                <c:pt idx="14">
                  <c:v>4.0851066340110265E-2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FEE-4F59-8328-5B50CF999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369072"/>
        <c:axId val="1"/>
      </c:scatterChart>
      <c:valAx>
        <c:axId val="578369072"/>
        <c:scaling>
          <c:orientation val="minMax"/>
          <c:min val="5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31181962910378"/>
              <c:y val="0.868903719352154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8"/>
          <c:min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19672131147541E-2"/>
              <c:y val="0.384146981627296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8369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409853276537153"/>
          <c:y val="0.92073298764483702"/>
          <c:w val="0.77377118024181402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V0874 Cyg - O-C Diagr.</a:t>
            </a:r>
          </a:p>
        </c:rich>
      </c:tx>
      <c:layout>
        <c:manualLayout>
          <c:xMode val="edge"/>
          <c:yMode val="edge"/>
          <c:x val="0.35986785233935309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7884062571358"/>
          <c:y val="0.1458966565349544"/>
          <c:w val="0.80431307705139188"/>
          <c:h val="0.6626139817629179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37556</c:v>
                </c:pt>
                <c:pt idx="2">
                  <c:v>49046.5</c:v>
                </c:pt>
                <c:pt idx="3">
                  <c:v>52052.5</c:v>
                </c:pt>
                <c:pt idx="4">
                  <c:v>52061</c:v>
                </c:pt>
                <c:pt idx="5">
                  <c:v>54213.5</c:v>
                </c:pt>
                <c:pt idx="6">
                  <c:v>55134</c:v>
                </c:pt>
                <c:pt idx="7">
                  <c:v>57133</c:v>
                </c:pt>
                <c:pt idx="8">
                  <c:v>57353.5</c:v>
                </c:pt>
                <c:pt idx="9">
                  <c:v>59484</c:v>
                </c:pt>
                <c:pt idx="10">
                  <c:v>60232.5</c:v>
                </c:pt>
                <c:pt idx="11">
                  <c:v>60573.5</c:v>
                </c:pt>
                <c:pt idx="12">
                  <c:v>61270.5</c:v>
                </c:pt>
                <c:pt idx="13">
                  <c:v>63630.5</c:v>
                </c:pt>
                <c:pt idx="14">
                  <c:v>65537.5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CA-4630-B91E-A7B159E88D6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Active!$D$22:$D$44</c:f>
                <c:numCache>
                  <c:formatCode>General</c:formatCode>
                  <c:ptCount val="23"/>
                  <c:pt idx="0">
                    <c:v>5.5999999999999999E-3</c:v>
                  </c:pt>
                  <c:pt idx="1">
                    <c:v>0</c:v>
                  </c:pt>
                  <c:pt idx="2">
                    <c:v>1E-3</c:v>
                  </c:pt>
                  <c:pt idx="3">
                    <c:v>1E-4</c:v>
                  </c:pt>
                  <c:pt idx="4">
                    <c:v>1.8E-3</c:v>
                  </c:pt>
                  <c:pt idx="5">
                    <c:v>2.9999999999999997E-4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2E-3</c:v>
                  </c:pt>
                  <c:pt idx="9">
                    <c:v>2.2000000000000001E-3</c:v>
                  </c:pt>
                  <c:pt idx="10">
                    <c:v>1E-4</c:v>
                  </c:pt>
                  <c:pt idx="11">
                    <c:v>2.3999999999999998E-3</c:v>
                  </c:pt>
                  <c:pt idx="12">
                    <c:v>1.6000000000000001E-3</c:v>
                  </c:pt>
                  <c:pt idx="13">
                    <c:v>2.0000000000000001E-4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37556</c:v>
                </c:pt>
                <c:pt idx="2">
                  <c:v>49046.5</c:v>
                </c:pt>
                <c:pt idx="3">
                  <c:v>52052.5</c:v>
                </c:pt>
                <c:pt idx="4">
                  <c:v>52061</c:v>
                </c:pt>
                <c:pt idx="5">
                  <c:v>54213.5</c:v>
                </c:pt>
                <c:pt idx="6">
                  <c:v>55134</c:v>
                </c:pt>
                <c:pt idx="7">
                  <c:v>57133</c:v>
                </c:pt>
                <c:pt idx="8">
                  <c:v>57353.5</c:v>
                </c:pt>
                <c:pt idx="9">
                  <c:v>59484</c:v>
                </c:pt>
                <c:pt idx="10">
                  <c:v>60232.5</c:v>
                </c:pt>
                <c:pt idx="11">
                  <c:v>60573.5</c:v>
                </c:pt>
                <c:pt idx="12">
                  <c:v>61270.5</c:v>
                </c:pt>
                <c:pt idx="13">
                  <c:v>63630.5</c:v>
                </c:pt>
                <c:pt idx="14">
                  <c:v>65537.5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CA-4630-B91E-A7B159E88D6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1.8E-3</c:v>
                  </c:pt>
                  <c:pt idx="6">
                    <c:v>2.9999999999999997E-4</c:v>
                  </c:pt>
                  <c:pt idx="7">
                    <c:v>1.1000000000000001E-3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2.2000000000000001E-3</c:v>
                  </c:pt>
                  <c:pt idx="11">
                    <c:v>1E-4</c:v>
                  </c:pt>
                  <c:pt idx="12">
                    <c:v>2.3999999999999998E-3</c:v>
                  </c:pt>
                  <c:pt idx="13">
                    <c:v>1.6000000000000001E-3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1.8E-3</c:v>
                  </c:pt>
                  <c:pt idx="6">
                    <c:v>2.9999999999999997E-4</c:v>
                  </c:pt>
                  <c:pt idx="7">
                    <c:v>1.1000000000000001E-3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2.2000000000000001E-3</c:v>
                  </c:pt>
                  <c:pt idx="11">
                    <c:v>1E-4</c:v>
                  </c:pt>
                  <c:pt idx="12">
                    <c:v>2.3999999999999998E-3</c:v>
                  </c:pt>
                  <c:pt idx="13">
                    <c:v>1.6000000000000001E-3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37556</c:v>
                </c:pt>
                <c:pt idx="2">
                  <c:v>49046.5</c:v>
                </c:pt>
                <c:pt idx="3">
                  <c:v>52052.5</c:v>
                </c:pt>
                <c:pt idx="4">
                  <c:v>52061</c:v>
                </c:pt>
                <c:pt idx="5">
                  <c:v>54213.5</c:v>
                </c:pt>
                <c:pt idx="6">
                  <c:v>55134</c:v>
                </c:pt>
                <c:pt idx="7">
                  <c:v>57133</c:v>
                </c:pt>
                <c:pt idx="8">
                  <c:v>57353.5</c:v>
                </c:pt>
                <c:pt idx="9">
                  <c:v>59484</c:v>
                </c:pt>
                <c:pt idx="10">
                  <c:v>60232.5</c:v>
                </c:pt>
                <c:pt idx="11">
                  <c:v>60573.5</c:v>
                </c:pt>
                <c:pt idx="12">
                  <c:v>61270.5</c:v>
                </c:pt>
                <c:pt idx="13">
                  <c:v>63630.5</c:v>
                </c:pt>
                <c:pt idx="14">
                  <c:v>65537.5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5">
                  <c:v>4.0814407562720589E-2</c:v>
                </c:pt>
                <c:pt idx="6">
                  <c:v>4.1038409181055613E-2</c:v>
                </c:pt>
                <c:pt idx="7">
                  <c:v>4.3457941232190933E-2</c:v>
                </c:pt>
                <c:pt idx="9">
                  <c:v>5.0883664014691021E-2</c:v>
                </c:pt>
                <c:pt idx="10">
                  <c:v>4.8517140625335742E-2</c:v>
                </c:pt>
                <c:pt idx="11">
                  <c:v>4.9471262893348467E-2</c:v>
                </c:pt>
                <c:pt idx="12">
                  <c:v>5.0754146264807787E-2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CA-4630-B91E-A7B159E88D6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1.8E-3</c:v>
                  </c:pt>
                  <c:pt idx="6">
                    <c:v>2.9999999999999997E-4</c:v>
                  </c:pt>
                  <c:pt idx="7">
                    <c:v>1.1000000000000001E-3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2.2000000000000001E-3</c:v>
                  </c:pt>
                  <c:pt idx="11">
                    <c:v>1E-4</c:v>
                  </c:pt>
                  <c:pt idx="12">
                    <c:v>2.3999999999999998E-3</c:v>
                  </c:pt>
                  <c:pt idx="13">
                    <c:v>1.6000000000000001E-3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1.8E-3</c:v>
                  </c:pt>
                  <c:pt idx="6">
                    <c:v>2.9999999999999997E-4</c:v>
                  </c:pt>
                  <c:pt idx="7">
                    <c:v>1.1000000000000001E-3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2.2000000000000001E-3</c:v>
                  </c:pt>
                  <c:pt idx="11">
                    <c:v>1E-4</c:v>
                  </c:pt>
                  <c:pt idx="12">
                    <c:v>2.3999999999999998E-3</c:v>
                  </c:pt>
                  <c:pt idx="13">
                    <c:v>1.6000000000000001E-3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37556</c:v>
                </c:pt>
                <c:pt idx="2">
                  <c:v>49046.5</c:v>
                </c:pt>
                <c:pt idx="3">
                  <c:v>52052.5</c:v>
                </c:pt>
                <c:pt idx="4">
                  <c:v>52061</c:v>
                </c:pt>
                <c:pt idx="5">
                  <c:v>54213.5</c:v>
                </c:pt>
                <c:pt idx="6">
                  <c:v>55134</c:v>
                </c:pt>
                <c:pt idx="7">
                  <c:v>57133</c:v>
                </c:pt>
                <c:pt idx="8">
                  <c:v>57353.5</c:v>
                </c:pt>
                <c:pt idx="9">
                  <c:v>59484</c:v>
                </c:pt>
                <c:pt idx="10">
                  <c:v>60232.5</c:v>
                </c:pt>
                <c:pt idx="11">
                  <c:v>60573.5</c:v>
                </c:pt>
                <c:pt idx="12">
                  <c:v>61270.5</c:v>
                </c:pt>
                <c:pt idx="13">
                  <c:v>63630.5</c:v>
                </c:pt>
                <c:pt idx="14">
                  <c:v>65537.5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">
                  <c:v>2.7239158887823578E-2</c:v>
                </c:pt>
                <c:pt idx="3">
                  <c:v>3.5364819414098747E-2</c:v>
                </c:pt>
                <c:pt idx="4">
                  <c:v>3.6618738355173264E-2</c:v>
                </c:pt>
                <c:pt idx="8">
                  <c:v>4.6032131736865267E-2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CA-4630-B91E-A7B159E88D6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1.8E-3</c:v>
                  </c:pt>
                  <c:pt idx="6">
                    <c:v>2.9999999999999997E-4</c:v>
                  </c:pt>
                  <c:pt idx="7">
                    <c:v>1.1000000000000001E-3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2.2000000000000001E-3</c:v>
                  </c:pt>
                  <c:pt idx="11">
                    <c:v>1E-4</c:v>
                  </c:pt>
                  <c:pt idx="12">
                    <c:v>2.3999999999999998E-3</c:v>
                  </c:pt>
                  <c:pt idx="13">
                    <c:v>1.6000000000000001E-3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1.8E-3</c:v>
                  </c:pt>
                  <c:pt idx="6">
                    <c:v>2.9999999999999997E-4</c:v>
                  </c:pt>
                  <c:pt idx="7">
                    <c:v>1.1000000000000001E-3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2.2000000000000001E-3</c:v>
                  </c:pt>
                  <c:pt idx="11">
                    <c:v>1E-4</c:v>
                  </c:pt>
                  <c:pt idx="12">
                    <c:v>2.3999999999999998E-3</c:v>
                  </c:pt>
                  <c:pt idx="13">
                    <c:v>1.6000000000000001E-3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37556</c:v>
                </c:pt>
                <c:pt idx="2">
                  <c:v>49046.5</c:v>
                </c:pt>
                <c:pt idx="3">
                  <c:v>52052.5</c:v>
                </c:pt>
                <c:pt idx="4">
                  <c:v>52061</c:v>
                </c:pt>
                <c:pt idx="5">
                  <c:v>54213.5</c:v>
                </c:pt>
                <c:pt idx="6">
                  <c:v>55134</c:v>
                </c:pt>
                <c:pt idx="7">
                  <c:v>57133</c:v>
                </c:pt>
                <c:pt idx="8">
                  <c:v>57353.5</c:v>
                </c:pt>
                <c:pt idx="9">
                  <c:v>59484</c:v>
                </c:pt>
                <c:pt idx="10">
                  <c:v>60232.5</c:v>
                </c:pt>
                <c:pt idx="11">
                  <c:v>60573.5</c:v>
                </c:pt>
                <c:pt idx="12">
                  <c:v>61270.5</c:v>
                </c:pt>
                <c:pt idx="13">
                  <c:v>63630.5</c:v>
                </c:pt>
                <c:pt idx="14">
                  <c:v>65537.5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CA-4630-B91E-A7B159E88D6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1.8E-3</c:v>
                  </c:pt>
                  <c:pt idx="6">
                    <c:v>2.9999999999999997E-4</c:v>
                  </c:pt>
                  <c:pt idx="7">
                    <c:v>1.1000000000000001E-3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2.2000000000000001E-3</c:v>
                  </c:pt>
                  <c:pt idx="11">
                    <c:v>1E-4</c:v>
                  </c:pt>
                  <c:pt idx="12">
                    <c:v>2.3999999999999998E-3</c:v>
                  </c:pt>
                  <c:pt idx="13">
                    <c:v>1.6000000000000001E-3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1.8E-3</c:v>
                  </c:pt>
                  <c:pt idx="6">
                    <c:v>2.9999999999999997E-4</c:v>
                  </c:pt>
                  <c:pt idx="7">
                    <c:v>1.1000000000000001E-3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2.2000000000000001E-3</c:v>
                  </c:pt>
                  <c:pt idx="11">
                    <c:v>1E-4</c:v>
                  </c:pt>
                  <c:pt idx="12">
                    <c:v>2.3999999999999998E-3</c:v>
                  </c:pt>
                  <c:pt idx="13">
                    <c:v>1.6000000000000001E-3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37556</c:v>
                </c:pt>
                <c:pt idx="2">
                  <c:v>49046.5</c:v>
                </c:pt>
                <c:pt idx="3">
                  <c:v>52052.5</c:v>
                </c:pt>
                <c:pt idx="4">
                  <c:v>52061</c:v>
                </c:pt>
                <c:pt idx="5">
                  <c:v>54213.5</c:v>
                </c:pt>
                <c:pt idx="6">
                  <c:v>55134</c:v>
                </c:pt>
                <c:pt idx="7">
                  <c:v>57133</c:v>
                </c:pt>
                <c:pt idx="8">
                  <c:v>57353.5</c:v>
                </c:pt>
                <c:pt idx="9">
                  <c:v>59484</c:v>
                </c:pt>
                <c:pt idx="10">
                  <c:v>60232.5</c:v>
                </c:pt>
                <c:pt idx="11">
                  <c:v>60573.5</c:v>
                </c:pt>
                <c:pt idx="12">
                  <c:v>61270.5</c:v>
                </c:pt>
                <c:pt idx="13">
                  <c:v>63630.5</c:v>
                </c:pt>
                <c:pt idx="14">
                  <c:v>65537.5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CA-4630-B91E-A7B159E88D6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1.8E-3</c:v>
                  </c:pt>
                  <c:pt idx="6">
                    <c:v>2.9999999999999997E-4</c:v>
                  </c:pt>
                  <c:pt idx="7">
                    <c:v>1.1000000000000001E-3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2.2000000000000001E-3</c:v>
                  </c:pt>
                  <c:pt idx="11">
                    <c:v>1E-4</c:v>
                  </c:pt>
                  <c:pt idx="12">
                    <c:v>2.3999999999999998E-3</c:v>
                  </c:pt>
                  <c:pt idx="13">
                    <c:v>1.6000000000000001E-3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1.8E-3</c:v>
                  </c:pt>
                  <c:pt idx="6">
                    <c:v>2.9999999999999997E-4</c:v>
                  </c:pt>
                  <c:pt idx="7">
                    <c:v>1.1000000000000001E-3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2.2000000000000001E-3</c:v>
                  </c:pt>
                  <c:pt idx="11">
                    <c:v>1E-4</c:v>
                  </c:pt>
                  <c:pt idx="12">
                    <c:v>2.3999999999999998E-3</c:v>
                  </c:pt>
                  <c:pt idx="13">
                    <c:v>1.6000000000000001E-3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37556</c:v>
                </c:pt>
                <c:pt idx="2">
                  <c:v>49046.5</c:v>
                </c:pt>
                <c:pt idx="3">
                  <c:v>52052.5</c:v>
                </c:pt>
                <c:pt idx="4">
                  <c:v>52061</c:v>
                </c:pt>
                <c:pt idx="5">
                  <c:v>54213.5</c:v>
                </c:pt>
                <c:pt idx="6">
                  <c:v>55134</c:v>
                </c:pt>
                <c:pt idx="7">
                  <c:v>57133</c:v>
                </c:pt>
                <c:pt idx="8">
                  <c:v>57353.5</c:v>
                </c:pt>
                <c:pt idx="9">
                  <c:v>59484</c:v>
                </c:pt>
                <c:pt idx="10">
                  <c:v>60232.5</c:v>
                </c:pt>
                <c:pt idx="11">
                  <c:v>60573.5</c:v>
                </c:pt>
                <c:pt idx="12">
                  <c:v>61270.5</c:v>
                </c:pt>
                <c:pt idx="13">
                  <c:v>63630.5</c:v>
                </c:pt>
                <c:pt idx="14">
                  <c:v>65537.5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CA-4630-B91E-A7B159E88D6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37556</c:v>
                </c:pt>
                <c:pt idx="2">
                  <c:v>49046.5</c:v>
                </c:pt>
                <c:pt idx="3">
                  <c:v>52052.5</c:v>
                </c:pt>
                <c:pt idx="4">
                  <c:v>52061</c:v>
                </c:pt>
                <c:pt idx="5">
                  <c:v>54213.5</c:v>
                </c:pt>
                <c:pt idx="6">
                  <c:v>55134</c:v>
                </c:pt>
                <c:pt idx="7">
                  <c:v>57133</c:v>
                </c:pt>
                <c:pt idx="8">
                  <c:v>57353.5</c:v>
                </c:pt>
                <c:pt idx="9">
                  <c:v>59484</c:v>
                </c:pt>
                <c:pt idx="10">
                  <c:v>60232.5</c:v>
                </c:pt>
                <c:pt idx="11">
                  <c:v>60573.5</c:v>
                </c:pt>
                <c:pt idx="12">
                  <c:v>61270.5</c:v>
                </c:pt>
                <c:pt idx="13">
                  <c:v>63630.5</c:v>
                </c:pt>
                <c:pt idx="14">
                  <c:v>65537.5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-5.8691756696426824E-2</c:v>
                </c:pt>
                <c:pt idx="1">
                  <c:v>9.0549459104326199E-3</c:v>
                </c:pt>
                <c:pt idx="2">
                  <c:v>2.9782485752378469E-2</c:v>
                </c:pt>
                <c:pt idx="3">
                  <c:v>3.5204963866027943E-2</c:v>
                </c:pt>
                <c:pt idx="4">
                  <c:v>3.5220296887972728E-2</c:v>
                </c:pt>
                <c:pt idx="5">
                  <c:v>3.910315920987243E-2</c:v>
                </c:pt>
                <c:pt idx="6">
                  <c:v>4.0763635292245796E-2</c:v>
                </c:pt>
                <c:pt idx="7">
                  <c:v>4.4369601276672034E-2</c:v>
                </c:pt>
                <c:pt idx="8">
                  <c:v>4.476735790476908E-2</c:v>
                </c:pt>
                <c:pt idx="9">
                  <c:v>4.8610534758105804E-2</c:v>
                </c:pt>
                <c:pt idx="10">
                  <c:v>4.9960742631714135E-2</c:v>
                </c:pt>
                <c:pt idx="11">
                  <c:v>5.0575867394440165E-2</c:v>
                </c:pt>
                <c:pt idx="12">
                  <c:v>5.1833175193912444E-2</c:v>
                </c:pt>
                <c:pt idx="13">
                  <c:v>5.6090343639758337E-2</c:v>
                </c:pt>
                <c:pt idx="14">
                  <c:v>5.9530352210193989E-2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CA-4630-B91E-A7B159E88D6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37556</c:v>
                </c:pt>
                <c:pt idx="2">
                  <c:v>49046.5</c:v>
                </c:pt>
                <c:pt idx="3">
                  <c:v>52052.5</c:v>
                </c:pt>
                <c:pt idx="4">
                  <c:v>52061</c:v>
                </c:pt>
                <c:pt idx="5">
                  <c:v>54213.5</c:v>
                </c:pt>
                <c:pt idx="6">
                  <c:v>55134</c:v>
                </c:pt>
                <c:pt idx="7">
                  <c:v>57133</c:v>
                </c:pt>
                <c:pt idx="8">
                  <c:v>57353.5</c:v>
                </c:pt>
                <c:pt idx="9">
                  <c:v>59484</c:v>
                </c:pt>
                <c:pt idx="10">
                  <c:v>60232.5</c:v>
                </c:pt>
                <c:pt idx="11">
                  <c:v>60573.5</c:v>
                </c:pt>
                <c:pt idx="12">
                  <c:v>61270.5</c:v>
                </c:pt>
                <c:pt idx="13">
                  <c:v>63630.5</c:v>
                </c:pt>
                <c:pt idx="14">
                  <c:v>65537.5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3">
                  <c:v>4.1970652331656311E-2</c:v>
                </c:pt>
                <c:pt idx="14">
                  <c:v>4.0851066340110265E-2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CA-4630-B91E-A7B159E88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378792"/>
        <c:axId val="1"/>
      </c:scatterChart>
      <c:valAx>
        <c:axId val="57837879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4730503214458"/>
              <c:y val="0.8693009118541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0961857379768E-2"/>
              <c:y val="0.38601823708206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8378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422902982898282"/>
          <c:y val="0.92097264437689974"/>
          <c:w val="0.78275412090901575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0</xdr:row>
      <xdr:rowOff>0</xdr:rowOff>
    </xdr:from>
    <xdr:to>
      <xdr:col>17</xdr:col>
      <xdr:colOff>314324</xdr:colOff>
      <xdr:row>18</xdr:row>
      <xdr:rowOff>0</xdr:rowOff>
    </xdr:to>
    <xdr:graphicFrame macro="">
      <xdr:nvGraphicFramePr>
        <xdr:cNvPr id="50180" name="Chart 1026">
          <a:extLst>
            <a:ext uri="{FF2B5EF4-FFF2-40B4-BE49-F238E27FC236}">
              <a16:creationId xmlns:a16="http://schemas.microsoft.com/office/drawing/2014/main" id="{7B8C0151-3531-088C-993B-D615FC2891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19050</xdr:rowOff>
    </xdr:from>
    <xdr:to>
      <xdr:col>27</xdr:col>
      <xdr:colOff>190500</xdr:colOff>
      <xdr:row>18</xdr:row>
      <xdr:rowOff>47625</xdr:rowOff>
    </xdr:to>
    <xdr:graphicFrame macro="">
      <xdr:nvGraphicFramePr>
        <xdr:cNvPr id="50181" name="Chart 1027">
          <a:extLst>
            <a:ext uri="{FF2B5EF4-FFF2-40B4-BE49-F238E27FC236}">
              <a16:creationId xmlns:a16="http://schemas.microsoft.com/office/drawing/2014/main" id="{E280395C-40A2-8EF8-AA7D-68FE0BFBA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178" TargetMode="External"/><Relationship Id="rId7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konkoly.hu/cgi-bin/IBVS?5493" TargetMode="External"/><Relationship Id="rId1" Type="http://schemas.openxmlformats.org/officeDocument/2006/relationships/hyperlink" Target="http://www.konkoly.hu/cgi-bin/IBVS?5493" TargetMode="External"/><Relationship Id="rId6" Type="http://schemas.openxmlformats.org/officeDocument/2006/relationships/hyperlink" Target="http://www.bav-astro.de/sfs/BAVM_link.php?BAVMnr=203" TargetMode="External"/><Relationship Id="rId11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bav-astro.de/sfs/BAVM_link.php?BAVMnr=201" TargetMode="External"/><Relationship Id="rId10" Type="http://schemas.openxmlformats.org/officeDocument/2006/relationships/hyperlink" Target="http://www.bav-astro.de/sfs/BAVM_link.php?BAVMnr=231" TargetMode="External"/><Relationship Id="rId4" Type="http://schemas.openxmlformats.org/officeDocument/2006/relationships/hyperlink" Target="http://www.bav-astro.de/sfs/BAVM_link.php?BAVMnr=183" TargetMode="External"/><Relationship Id="rId9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.7109375" customWidth="1"/>
    <col min="2" max="2" width="5.140625" customWidth="1"/>
    <col min="3" max="3" width="11.85546875" customWidth="1"/>
    <col min="4" max="4" width="9.42578125" customWidth="1"/>
    <col min="5" max="5" width="11.140625" customWidth="1"/>
    <col min="6" max="6" width="16.85546875" customWidth="1"/>
    <col min="7" max="7" width="8.140625" customWidth="1"/>
    <col min="8" max="8" width="8.42578125" customWidth="1"/>
    <col min="9" max="9" width="7.85546875" customWidth="1"/>
    <col min="10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45</v>
      </c>
    </row>
    <row r="2" spans="1:6" ht="12.95" customHeight="1" x14ac:dyDescent="0.2">
      <c r="A2" t="s">
        <v>25</v>
      </c>
      <c r="B2" t="s">
        <v>29</v>
      </c>
    </row>
    <row r="3" spans="1:6" ht="12.95" customHeight="1" thickBot="1" x14ac:dyDescent="0.25"/>
    <row r="4" spans="1:6" ht="12.95" customHeight="1" thickTop="1" thickBot="1" x14ac:dyDescent="0.25">
      <c r="A4" s="7" t="s">
        <v>1</v>
      </c>
      <c r="C4" s="3">
        <v>34707.241000000002</v>
      </c>
      <c r="D4" s="4">
        <v>0.42263390000000001</v>
      </c>
    </row>
    <row r="5" spans="1:6" ht="12.95" customHeight="1" thickTop="1" x14ac:dyDescent="0.2">
      <c r="A5" s="13" t="s">
        <v>34</v>
      </c>
      <c r="B5" s="11"/>
      <c r="C5" s="14">
        <v>-9.5</v>
      </c>
      <c r="D5" s="11" t="s">
        <v>35</v>
      </c>
    </row>
    <row r="6" spans="1:6" ht="12.95" customHeight="1" x14ac:dyDescent="0.2">
      <c r="A6" s="7" t="s">
        <v>2</v>
      </c>
    </row>
    <row r="7" spans="1:6" ht="12.95" customHeight="1" x14ac:dyDescent="0.2">
      <c r="A7" t="s">
        <v>3</v>
      </c>
      <c r="C7">
        <f>+C4</f>
        <v>34707.241000000002</v>
      </c>
    </row>
    <row r="8" spans="1:6" ht="12.95" customHeight="1" x14ac:dyDescent="0.2">
      <c r="A8" t="s">
        <v>4</v>
      </c>
      <c r="C8" s="12">
        <v>0.34873435741268211</v>
      </c>
      <c r="D8" s="10"/>
    </row>
    <row r="9" spans="1:6" ht="12.95" customHeight="1" x14ac:dyDescent="0.2">
      <c r="A9" s="25" t="s">
        <v>40</v>
      </c>
      <c r="B9" s="26">
        <v>22</v>
      </c>
      <c r="C9" s="24" t="str">
        <f>"F"&amp;B9</f>
        <v>F22</v>
      </c>
      <c r="D9" s="10" t="str">
        <f>"G"&amp;B9</f>
        <v>G22</v>
      </c>
    </row>
    <row r="10" spans="1:6" ht="12.95" customHeight="1" thickBot="1" x14ac:dyDescent="0.25">
      <c r="A10" s="11"/>
      <c r="B10" s="11"/>
      <c r="C10" s="6" t="s">
        <v>21</v>
      </c>
      <c r="D10" s="6" t="s">
        <v>22</v>
      </c>
      <c r="E10" s="11"/>
    </row>
    <row r="11" spans="1:6" ht="12.95" customHeight="1" x14ac:dyDescent="0.2">
      <c r="A11" s="11" t="s">
        <v>17</v>
      </c>
      <c r="B11" s="11"/>
      <c r="C11" s="23">
        <f ca="1">INTERCEPT(INDIRECT($D$9):G991,INDIRECT($C$9):F991)</f>
        <v>-5.8691756696426824E-2</v>
      </c>
      <c r="D11" s="5"/>
      <c r="E11" s="11"/>
    </row>
    <row r="12" spans="1:6" ht="12.95" customHeight="1" x14ac:dyDescent="0.2">
      <c r="A12" s="11" t="s">
        <v>18</v>
      </c>
      <c r="B12" s="11"/>
      <c r="C12" s="23">
        <f ca="1">SLOPE(INDIRECT($D$9):G991,INDIRECT($C$9):F991)</f>
        <v>1.8038849346804624E-6</v>
      </c>
      <c r="D12" s="5"/>
      <c r="E12" s="62" t="s">
        <v>129</v>
      </c>
      <c r="F12" s="63" t="s">
        <v>132</v>
      </c>
    </row>
    <row r="13" spans="1:6" ht="12.95" customHeight="1" x14ac:dyDescent="0.2">
      <c r="A13" s="11" t="s">
        <v>20</v>
      </c>
      <c r="B13" s="11"/>
      <c r="C13" s="5" t="s">
        <v>15</v>
      </c>
      <c r="E13" s="60" t="s">
        <v>42</v>
      </c>
      <c r="F13" s="64">
        <v>1</v>
      </c>
    </row>
    <row r="14" spans="1:6" ht="12.95" customHeight="1" x14ac:dyDescent="0.2">
      <c r="A14" s="11"/>
      <c r="B14" s="11"/>
      <c r="C14" s="11"/>
      <c r="E14" s="60" t="s">
        <v>36</v>
      </c>
      <c r="F14" s="65">
        <f ca="1">NOW()+15018.5+$C$5/24</f>
        <v>60543.719533796291</v>
      </c>
    </row>
    <row r="15" spans="1:6" ht="12.95" customHeight="1" x14ac:dyDescent="0.2">
      <c r="A15" s="15" t="s">
        <v>19</v>
      </c>
      <c r="B15" s="11"/>
      <c r="C15" s="16">
        <f ca="1">(C7+C11)+(C8+C12)*INT(MAX(F21:F3532))</f>
        <v>57562.304111205216</v>
      </c>
      <c r="E15" s="60" t="s">
        <v>43</v>
      </c>
      <c r="F15" s="65">
        <f ca="1">ROUND(2*($F$14-$C$7)/$C$8,0)/2+$F$13</f>
        <v>74087.5</v>
      </c>
    </row>
    <row r="16" spans="1:6" ht="12.95" customHeight="1" x14ac:dyDescent="0.2">
      <c r="A16" s="18" t="s">
        <v>5</v>
      </c>
      <c r="B16" s="11"/>
      <c r="C16" s="19">
        <f ca="1">+C8+C12</f>
        <v>0.34873616129761681</v>
      </c>
      <c r="E16" s="60" t="s">
        <v>37</v>
      </c>
      <c r="F16" s="65">
        <f ca="1">ROUND(2*($F$14-$C$15)/$C$16,0)/2+$F$13</f>
        <v>8550</v>
      </c>
    </row>
    <row r="17" spans="1:21" ht="12.95" customHeight="1" thickBot="1" x14ac:dyDescent="0.25">
      <c r="A17" s="17" t="s">
        <v>32</v>
      </c>
      <c r="B17" s="11"/>
      <c r="C17" s="11">
        <f>COUNT(C21:C2190)</f>
        <v>15</v>
      </c>
      <c r="E17" s="60" t="s">
        <v>130</v>
      </c>
      <c r="F17" s="66">
        <f ca="1">+$C$15+$C$16*$F$16-15018.5-$C$5/24</f>
        <v>45525.894123633174</v>
      </c>
    </row>
    <row r="18" spans="1:21" ht="12.95" customHeight="1" thickTop="1" thickBot="1" x14ac:dyDescent="0.25">
      <c r="A18" s="18" t="s">
        <v>6</v>
      </c>
      <c r="B18" s="11"/>
      <c r="C18" s="21">
        <f ca="1">+C15</f>
        <v>57562.304111205216</v>
      </c>
      <c r="D18" s="22">
        <f ca="1">+C16</f>
        <v>0.34873616129761681</v>
      </c>
      <c r="E18" s="61" t="s">
        <v>131</v>
      </c>
      <c r="F18" s="67">
        <f ca="1">+($C$15+$C$16*$F$16)-($C$16/2)-15018.5-$C$5/24</f>
        <v>45525.719755552527</v>
      </c>
    </row>
    <row r="19" spans="1:21" ht="12.95" customHeight="1" thickTop="1" x14ac:dyDescent="0.2">
      <c r="E19" s="17"/>
      <c r="F19" s="20"/>
    </row>
    <row r="20" spans="1:21" ht="12.95" customHeight="1" thickBot="1" x14ac:dyDescent="0.25">
      <c r="A20" s="6" t="s">
        <v>7</v>
      </c>
      <c r="B20" s="6" t="s">
        <v>8</v>
      </c>
      <c r="C20" s="6" t="s">
        <v>9</v>
      </c>
      <c r="D20" s="6" t="s">
        <v>14</v>
      </c>
      <c r="E20" s="6" t="s">
        <v>10</v>
      </c>
      <c r="F20" s="6" t="s">
        <v>11</v>
      </c>
      <c r="G20" s="6" t="s">
        <v>12</v>
      </c>
      <c r="H20" s="9" t="s">
        <v>58</v>
      </c>
      <c r="I20" s="9" t="s">
        <v>61</v>
      </c>
      <c r="J20" s="9" t="s">
        <v>55</v>
      </c>
      <c r="K20" s="9" t="s">
        <v>53</v>
      </c>
      <c r="L20" s="9" t="s">
        <v>26</v>
      </c>
      <c r="M20" s="9" t="s">
        <v>27</v>
      </c>
      <c r="N20" s="9" t="s">
        <v>28</v>
      </c>
      <c r="O20" s="9" t="s">
        <v>24</v>
      </c>
      <c r="P20" s="8" t="s">
        <v>23</v>
      </c>
      <c r="Q20" s="6" t="s">
        <v>16</v>
      </c>
      <c r="U20" s="34" t="s">
        <v>48</v>
      </c>
    </row>
    <row r="21" spans="1:21" ht="12.95" customHeight="1" x14ac:dyDescent="0.2">
      <c r="A21" t="s">
        <v>13</v>
      </c>
      <c r="B21" s="5"/>
      <c r="C21" s="12">
        <v>34707.241000000002</v>
      </c>
      <c r="D21" s="12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H21" s="10">
        <f>G21</f>
        <v>0</v>
      </c>
      <c r="O21">
        <f ca="1">+C$11+C$12*F21</f>
        <v>-5.8691756696426824E-2</v>
      </c>
      <c r="Q21" s="2">
        <f>+C21-15018.5</f>
        <v>19688.741000000002</v>
      </c>
      <c r="U21" s="35"/>
    </row>
    <row r="22" spans="1:21" ht="12.95" customHeight="1" x14ac:dyDescent="0.2">
      <c r="A22" s="58" t="s">
        <v>128</v>
      </c>
      <c r="B22" s="59" t="s">
        <v>39</v>
      </c>
      <c r="C22" s="58">
        <v>47804.323600000003</v>
      </c>
      <c r="D22" s="58">
        <v>5.5999999999999999E-3</v>
      </c>
      <c r="E22">
        <f>+(C22-C$7)/C$8</f>
        <v>37556.043222037035</v>
      </c>
      <c r="F22">
        <f>ROUND(2*E22,0)/2</f>
        <v>37556</v>
      </c>
      <c r="O22">
        <f ca="1">+C$11+C$12*F22</f>
        <v>9.0549459104326199E-3</v>
      </c>
      <c r="Q22" s="2">
        <f>+C22-15018.5</f>
        <v>32785.823600000003</v>
      </c>
    </row>
    <row r="23" spans="1:21" ht="12.95" customHeight="1" x14ac:dyDescent="0.2">
      <c r="A23" s="51" t="s">
        <v>68</v>
      </c>
      <c r="B23" s="52" t="s">
        <v>31</v>
      </c>
      <c r="C23" s="53">
        <v>51811.467900000003</v>
      </c>
      <c r="D23" s="53" t="s">
        <v>61</v>
      </c>
      <c r="E23">
        <f>+(C23-C$7)/C$8</f>
        <v>49046.578108618523</v>
      </c>
      <c r="F23">
        <f>ROUND(2*E23,0)/2</f>
        <v>49046.5</v>
      </c>
      <c r="G23">
        <f>+C23-(C$7+F23*C$8)</f>
        <v>2.7239158887823578E-2</v>
      </c>
      <c r="K23">
        <f>G23</f>
        <v>2.7239158887823578E-2</v>
      </c>
      <c r="O23">
        <f ca="1">+C$11+C$12*F23</f>
        <v>2.9782485752378469E-2</v>
      </c>
      <c r="Q23" s="2">
        <f>+C23-15018.5</f>
        <v>36792.967900000003</v>
      </c>
    </row>
    <row r="24" spans="1:21" ht="12.95" customHeight="1" x14ac:dyDescent="0.2">
      <c r="A24" s="7" t="s">
        <v>30</v>
      </c>
      <c r="B24" s="5" t="s">
        <v>31</v>
      </c>
      <c r="C24" s="12">
        <v>52859.771504043048</v>
      </c>
      <c r="D24" s="12">
        <v>1E-3</v>
      </c>
      <c r="E24">
        <f>+(C24-C$7)/C$8</f>
        <v>52052.601409048635</v>
      </c>
      <c r="F24">
        <f>ROUND(2*E24,0)/2</f>
        <v>52052.5</v>
      </c>
      <c r="G24">
        <f>+C24-(C$7+F24*C$8)</f>
        <v>3.5364819414098747E-2</v>
      </c>
      <c r="K24">
        <f>+G24</f>
        <v>3.5364819414098747E-2</v>
      </c>
      <c r="O24">
        <f ca="1">+C$11+C$12*F24</f>
        <v>3.5204963866027943E-2</v>
      </c>
      <c r="Q24" s="2">
        <f>+C24-15018.5</f>
        <v>37841.271504043048</v>
      </c>
      <c r="U24" s="35"/>
    </row>
    <row r="25" spans="1:21" ht="12.95" customHeight="1" x14ac:dyDescent="0.2">
      <c r="A25" s="7" t="s">
        <v>30</v>
      </c>
      <c r="B25" s="5" t="s">
        <v>31</v>
      </c>
      <c r="C25" s="12">
        <v>52862.737000000001</v>
      </c>
      <c r="D25" s="12">
        <v>1E-4</v>
      </c>
      <c r="E25">
        <f>+(C25-C$7)/C$8</f>
        <v>52061.105004676421</v>
      </c>
      <c r="F25">
        <f>ROUND(2*E25,0)/2</f>
        <v>52061</v>
      </c>
      <c r="G25">
        <f>+C25-(C$7+F25*C$8)</f>
        <v>3.6618738355173264E-2</v>
      </c>
      <c r="K25">
        <f>G25</f>
        <v>3.6618738355173264E-2</v>
      </c>
      <c r="O25">
        <f ca="1">+C$11+C$12*F25</f>
        <v>3.5220296887972728E-2</v>
      </c>
      <c r="Q25" s="2">
        <f>+C25-15018.5</f>
        <v>37844.237000000001</v>
      </c>
      <c r="U25" s="35"/>
    </row>
    <row r="26" spans="1:21" ht="12.95" customHeight="1" x14ac:dyDescent="0.2">
      <c r="A26" s="27" t="s">
        <v>33</v>
      </c>
      <c r="B26" s="28"/>
      <c r="C26" s="29">
        <v>53613.391900000002</v>
      </c>
      <c r="D26" s="29">
        <v>1.8E-3</v>
      </c>
      <c r="E26">
        <f>+(C26-C$7)/C$8</f>
        <v>54213.617035808755</v>
      </c>
      <c r="F26">
        <f>ROUND(2*E26,0)/2</f>
        <v>54213.5</v>
      </c>
      <c r="G26">
        <f>+C26-(C$7+F26*C$8)</f>
        <v>4.0814407562720589E-2</v>
      </c>
      <c r="J26">
        <f>G26</f>
        <v>4.0814407562720589E-2</v>
      </c>
      <c r="O26">
        <f ca="1">+C$11+C$12*F26</f>
        <v>3.910315920987243E-2</v>
      </c>
      <c r="Q26" s="2">
        <f>+C26-15018.5</f>
        <v>38594.891900000002</v>
      </c>
      <c r="U26" s="35"/>
    </row>
    <row r="27" spans="1:21" ht="12.95" customHeight="1" x14ac:dyDescent="0.2">
      <c r="A27" s="27" t="s">
        <v>38</v>
      </c>
      <c r="B27" s="30" t="s">
        <v>39</v>
      </c>
      <c r="C27" s="29">
        <v>53934.402099999999</v>
      </c>
      <c r="D27" s="29">
        <v>2.9999999999999997E-4</v>
      </c>
      <c r="E27">
        <f>+(C27-C$7)/C$8</f>
        <v>55134.117678136121</v>
      </c>
      <c r="F27">
        <f>ROUND(2*E27,0)/2</f>
        <v>55134</v>
      </c>
      <c r="G27">
        <f>+C27-(C$7+F27*C$8)</f>
        <v>4.1038409181055613E-2</v>
      </c>
      <c r="J27">
        <f>G27</f>
        <v>4.1038409181055613E-2</v>
      </c>
      <c r="O27">
        <f ca="1">+C$11+C$12*F27</f>
        <v>4.0763635292245796E-2</v>
      </c>
      <c r="Q27" s="2">
        <f>+C27-15018.5</f>
        <v>38915.902099999999</v>
      </c>
      <c r="U27" s="35"/>
    </row>
    <row r="28" spans="1:21" ht="12.95" customHeight="1" x14ac:dyDescent="0.2">
      <c r="A28" s="29" t="s">
        <v>41</v>
      </c>
      <c r="B28" s="31" t="s">
        <v>39</v>
      </c>
      <c r="C28" s="29">
        <v>54631.5245</v>
      </c>
      <c r="D28" s="29">
        <v>1.1000000000000001E-3</v>
      </c>
      <c r="E28">
        <f>+(C28-C$7)/C$8</f>
        <v>57133.12461617362</v>
      </c>
      <c r="F28">
        <f>ROUND(2*E28,0)/2</f>
        <v>57133</v>
      </c>
      <c r="G28">
        <f>+C28-(C$7+F28*C$8)</f>
        <v>4.3457941232190933E-2</v>
      </c>
      <c r="J28">
        <f>G28</f>
        <v>4.3457941232190933E-2</v>
      </c>
      <c r="O28">
        <f ca="1">+C$11+C$12*F28</f>
        <v>4.4369601276672034E-2</v>
      </c>
      <c r="Q28" s="2">
        <f>+C28-15018.5</f>
        <v>39613.0245</v>
      </c>
      <c r="U28" s="35"/>
    </row>
    <row r="29" spans="1:21" ht="12.95" customHeight="1" x14ac:dyDescent="0.2">
      <c r="A29" s="51" t="s">
        <v>101</v>
      </c>
      <c r="B29" s="52" t="s">
        <v>39</v>
      </c>
      <c r="C29" s="53">
        <v>54708.423000000003</v>
      </c>
      <c r="D29" s="53" t="s">
        <v>61</v>
      </c>
      <c r="E29">
        <f>+(C29-C$7)/C$8</f>
        <v>57353.631997696124</v>
      </c>
      <c r="F29">
        <f>ROUND(2*E29,0)/2</f>
        <v>57353.5</v>
      </c>
      <c r="G29">
        <f>+C29-(C$7+F29*C$8)</f>
        <v>4.6032131736865267E-2</v>
      </c>
      <c r="K29">
        <f>G29</f>
        <v>4.6032131736865267E-2</v>
      </c>
      <c r="O29">
        <f ca="1">+C$11+C$12*F29</f>
        <v>4.476735790476908E-2</v>
      </c>
      <c r="Q29" s="2">
        <f>+C29-15018.5</f>
        <v>39689.923000000003</v>
      </c>
      <c r="U29" s="35"/>
    </row>
    <row r="30" spans="1:21" ht="12.95" customHeight="1" x14ac:dyDescent="0.2">
      <c r="A30" s="36" t="s">
        <v>49</v>
      </c>
      <c r="B30" s="36"/>
      <c r="C30" s="37">
        <v>55451.4064</v>
      </c>
      <c r="D30" s="37">
        <v>2E-3</v>
      </c>
      <c r="E30">
        <f>+(C30-C$7)/C$8</f>
        <v>59484.145909523781</v>
      </c>
      <c r="F30">
        <f>ROUND(2*E30,0)/2</f>
        <v>59484</v>
      </c>
      <c r="G30">
        <f>+C30-(C$7+F30*C$8)</f>
        <v>5.0883664014691021E-2</v>
      </c>
      <c r="J30">
        <f>G30</f>
        <v>5.0883664014691021E-2</v>
      </c>
      <c r="O30">
        <f ca="1">+C$11+C$12*F30</f>
        <v>4.8610534758105804E-2</v>
      </c>
      <c r="Q30" s="2">
        <f>+C30-15018.5</f>
        <v>40432.9064</v>
      </c>
      <c r="U30" s="35"/>
    </row>
    <row r="31" spans="1:21" ht="12.95" customHeight="1" x14ac:dyDescent="0.2">
      <c r="A31" s="32" t="s">
        <v>44</v>
      </c>
      <c r="B31" s="33" t="s">
        <v>31</v>
      </c>
      <c r="C31" s="32">
        <v>55712.431700000001</v>
      </c>
      <c r="D31" s="32">
        <v>2.2000000000000001E-3</v>
      </c>
      <c r="E31">
        <f>+(C31-C$7)/C$8</f>
        <v>60232.639123489251</v>
      </c>
      <c r="F31">
        <f>ROUND(2*E31,0)/2</f>
        <v>60232.5</v>
      </c>
      <c r="G31">
        <f>+C31-(C$7+F31*C$8)</f>
        <v>4.8517140625335742E-2</v>
      </c>
      <c r="J31">
        <f>G31</f>
        <v>4.8517140625335742E-2</v>
      </c>
      <c r="O31">
        <f ca="1">+C$11+C$12*F31</f>
        <v>4.9960742631714135E-2</v>
      </c>
      <c r="Q31" s="2">
        <f>+C31-15018.5</f>
        <v>40693.931700000001</v>
      </c>
      <c r="U31" s="35"/>
    </row>
    <row r="32" spans="1:21" ht="12.95" customHeight="1" x14ac:dyDescent="0.2">
      <c r="A32" s="27" t="s">
        <v>46</v>
      </c>
      <c r="B32" s="31" t="s">
        <v>39</v>
      </c>
      <c r="C32" s="29">
        <v>55831.351069999997</v>
      </c>
      <c r="D32" s="29">
        <v>1E-4</v>
      </c>
      <c r="E32">
        <f>+(C32-C$7)/C$8</f>
        <v>60573.641859446434</v>
      </c>
      <c r="F32">
        <f>ROUND(2*E32,0)/2</f>
        <v>60573.5</v>
      </c>
      <c r="G32">
        <f>+C32-(C$7+F32*C$8)</f>
        <v>4.9471262893348467E-2</v>
      </c>
      <c r="J32">
        <f>G32</f>
        <v>4.9471262893348467E-2</v>
      </c>
      <c r="O32">
        <f ca="1">+C$11+C$12*F32</f>
        <v>5.0575867394440165E-2</v>
      </c>
      <c r="Q32" s="2">
        <f>+C32-15018.5</f>
        <v>40812.851069999997</v>
      </c>
      <c r="U32" s="35"/>
    </row>
    <row r="33" spans="1:21" ht="12.95" customHeight="1" x14ac:dyDescent="0.2">
      <c r="A33" s="27" t="s">
        <v>47</v>
      </c>
      <c r="B33" s="31" t="s">
        <v>39</v>
      </c>
      <c r="C33" s="29">
        <v>56074.4202</v>
      </c>
      <c r="D33" s="29">
        <v>2.3999999999999998E-3</v>
      </c>
      <c r="E33">
        <f>+(C33-C$7)/C$8</f>
        <v>61270.64553813004</v>
      </c>
      <c r="F33">
        <f>ROUND(2*E33,0)/2</f>
        <v>61270.5</v>
      </c>
      <c r="G33">
        <f>+C33-(C$7+F33*C$8)</f>
        <v>5.0754146264807787E-2</v>
      </c>
      <c r="J33">
        <f>G33</f>
        <v>5.0754146264807787E-2</v>
      </c>
      <c r="O33">
        <f ca="1">+C$11+C$12*F33</f>
        <v>5.1833175193912444E-2</v>
      </c>
      <c r="Q33" s="2">
        <f>+C33-15018.5</f>
        <v>41055.9202</v>
      </c>
      <c r="U33" s="35"/>
    </row>
    <row r="34" spans="1:21" ht="12.95" customHeight="1" x14ac:dyDescent="0.2">
      <c r="A34" s="54" t="s">
        <v>50</v>
      </c>
      <c r="B34" s="30" t="s">
        <v>39</v>
      </c>
      <c r="C34" s="54">
        <v>56897.424500000001</v>
      </c>
      <c r="D34" s="54">
        <v>1.6000000000000001E-3</v>
      </c>
      <c r="E34">
        <f>+(C34-C$7)/C$8</f>
        <v>63630.620351354657</v>
      </c>
      <c r="F34">
        <f>ROUND(2*E34,0)/2</f>
        <v>63630.5</v>
      </c>
      <c r="O34">
        <f ca="1">+C$11+C$12*F34</f>
        <v>5.6090343639758337E-2</v>
      </c>
      <c r="Q34" s="2">
        <f>+C34-15018.5</f>
        <v>41878.924500000001</v>
      </c>
      <c r="U34">
        <f>+C34-(C$7+F34*C$8)</f>
        <v>4.1970652331656311E-2</v>
      </c>
    </row>
    <row r="35" spans="1:21" ht="12.95" customHeight="1" x14ac:dyDescent="0.2">
      <c r="A35" s="55" t="s">
        <v>0</v>
      </c>
      <c r="B35" s="56" t="s">
        <v>39</v>
      </c>
      <c r="C35" s="57">
        <v>57562.459799999997</v>
      </c>
      <c r="D35" s="57">
        <v>2.0000000000000001E-4</v>
      </c>
      <c r="E35">
        <f>+(C35-C$7)/C$8</f>
        <v>65537.617140928254</v>
      </c>
      <c r="F35">
        <f>ROUND(2*E35,0)/2</f>
        <v>65537.5</v>
      </c>
      <c r="O35">
        <f ca="1">+C$11+C$12*F35</f>
        <v>5.9530352210193989E-2</v>
      </c>
      <c r="Q35" s="2">
        <f>+C35-15018.5</f>
        <v>42543.959799999997</v>
      </c>
      <c r="U35">
        <f>+C35-(C$7+F35*C$8)</f>
        <v>4.0851066340110265E-2</v>
      </c>
    </row>
    <row r="36" spans="1:21" ht="12.95" customHeight="1" x14ac:dyDescent="0.2">
      <c r="B36" s="5"/>
      <c r="D36" s="5"/>
    </row>
    <row r="37" spans="1:21" ht="12.95" customHeight="1" x14ac:dyDescent="0.2">
      <c r="B37" s="5"/>
      <c r="D37" s="5"/>
    </row>
    <row r="38" spans="1:21" ht="12.95" customHeight="1" x14ac:dyDescent="0.2">
      <c r="B38" s="5"/>
      <c r="D38" s="5"/>
    </row>
    <row r="39" spans="1:21" ht="12.95" customHeight="1" x14ac:dyDescent="0.2">
      <c r="B39" s="5"/>
      <c r="D39" s="5"/>
    </row>
    <row r="40" spans="1:21" ht="12.95" customHeight="1" x14ac:dyDescent="0.2">
      <c r="B40" s="5"/>
      <c r="D40" s="5"/>
    </row>
    <row r="41" spans="1:21" ht="12.95" customHeight="1" x14ac:dyDescent="0.2">
      <c r="B41" s="5"/>
      <c r="D41" s="5"/>
    </row>
    <row r="42" spans="1:21" ht="12.95" customHeight="1" x14ac:dyDescent="0.2">
      <c r="B42" s="5"/>
      <c r="D42" s="5"/>
    </row>
    <row r="43" spans="1:21" x14ac:dyDescent="0.2">
      <c r="B43" s="5"/>
      <c r="D43" s="5"/>
    </row>
    <row r="44" spans="1:21" x14ac:dyDescent="0.2">
      <c r="B44" s="5"/>
      <c r="D44" s="5"/>
    </row>
    <row r="45" spans="1:21" x14ac:dyDescent="0.2">
      <c r="B45" s="5"/>
      <c r="D45" s="5"/>
    </row>
    <row r="46" spans="1:21" x14ac:dyDescent="0.2">
      <c r="B46" s="5"/>
      <c r="D46" s="5"/>
    </row>
    <row r="47" spans="1:21" x14ac:dyDescent="0.2">
      <c r="B47" s="5"/>
    </row>
    <row r="48" spans="1:21" x14ac:dyDescent="0.2">
      <c r="B48" s="5"/>
    </row>
    <row r="49" spans="2:2" x14ac:dyDescent="0.2">
      <c r="B49" s="5"/>
    </row>
    <row r="50" spans="2:2" x14ac:dyDescent="0.2">
      <c r="B50" s="5"/>
    </row>
    <row r="51" spans="2:2" x14ac:dyDescent="0.2">
      <c r="B51" s="5"/>
    </row>
    <row r="52" spans="2:2" x14ac:dyDescent="0.2">
      <c r="B52" s="5"/>
    </row>
  </sheetData>
  <sortState xmlns:xlrd2="http://schemas.microsoft.com/office/spreadsheetml/2017/richdata2" ref="A21:Y39">
    <sortCondition ref="C21:C39"/>
  </sortState>
  <phoneticPr fontId="0" type="noConversion"/>
  <hyperlinks>
    <hyperlink ref="H957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4"/>
  <sheetViews>
    <sheetView workbookViewId="0">
      <selection activeCell="A21" sqref="A21:D23"/>
    </sheetView>
  </sheetViews>
  <sheetFormatPr defaultRowHeight="12.75" x14ac:dyDescent="0.2"/>
  <cols>
    <col min="1" max="1" width="19.7109375" style="12" customWidth="1"/>
    <col min="2" max="2" width="4.42578125" style="11" customWidth="1"/>
    <col min="3" max="3" width="12.7109375" style="12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12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38" t="s">
        <v>51</v>
      </c>
      <c r="I1" s="39" t="s">
        <v>52</v>
      </c>
      <c r="J1" s="40" t="s">
        <v>53</v>
      </c>
    </row>
    <row r="2" spans="1:16" x14ac:dyDescent="0.2">
      <c r="I2" s="41" t="s">
        <v>54</v>
      </c>
      <c r="J2" s="42" t="s">
        <v>55</v>
      </c>
    </row>
    <row r="3" spans="1:16" x14ac:dyDescent="0.2">
      <c r="A3" s="43" t="s">
        <v>56</v>
      </c>
      <c r="I3" s="41" t="s">
        <v>57</v>
      </c>
      <c r="J3" s="42" t="s">
        <v>58</v>
      </c>
    </row>
    <row r="4" spans="1:16" x14ac:dyDescent="0.2">
      <c r="I4" s="41" t="s">
        <v>59</v>
      </c>
      <c r="J4" s="42" t="s">
        <v>58</v>
      </c>
    </row>
    <row r="5" spans="1:16" ht="13.5" thickBot="1" x14ac:dyDescent="0.25">
      <c r="I5" s="44" t="s">
        <v>60</v>
      </c>
      <c r="J5" s="45" t="s">
        <v>61</v>
      </c>
    </row>
    <row r="11" spans="1:16" ht="13.5" thickBot="1" x14ac:dyDescent="0.25"/>
    <row r="12" spans="1:16" ht="12.75" customHeight="1" thickBot="1" x14ac:dyDescent="0.25">
      <c r="A12" s="12" t="str">
        <f t="shared" ref="A12:A23" si="0">P12</f>
        <v>IBVS 5493 </v>
      </c>
      <c r="B12" s="5" t="str">
        <f t="shared" ref="B12:B23" si="1">IF(H12=INT(H12),"I","II")</f>
        <v>I</v>
      </c>
      <c r="C12" s="12">
        <f t="shared" ref="C12:C23" si="2">1*G12</f>
        <v>52862.737000000001</v>
      </c>
      <c r="D12" s="11" t="str">
        <f t="shared" ref="D12:D23" si="3">VLOOKUP(F12,I$1:J$5,2,FALSE)</f>
        <v>vis</v>
      </c>
      <c r="E12" s="46">
        <f>VLOOKUP(C12,Active!C$21:E$972,3,FALSE)</f>
        <v>52061.105004676421</v>
      </c>
      <c r="F12" s="5" t="s">
        <v>60</v>
      </c>
      <c r="G12" s="11" t="str">
        <f t="shared" ref="G12:G23" si="4">MID(I12,3,LEN(I12)-3)</f>
        <v>52862.737</v>
      </c>
      <c r="H12" s="12">
        <f t="shared" ref="H12:H23" si="5">1*K12</f>
        <v>42958</v>
      </c>
      <c r="I12" s="47" t="s">
        <v>74</v>
      </c>
      <c r="J12" s="48" t="s">
        <v>75</v>
      </c>
      <c r="K12" s="47">
        <v>42958</v>
      </c>
      <c r="L12" s="47" t="s">
        <v>76</v>
      </c>
      <c r="M12" s="48" t="s">
        <v>65</v>
      </c>
      <c r="N12" s="48" t="s">
        <v>66</v>
      </c>
      <c r="O12" s="49" t="s">
        <v>72</v>
      </c>
      <c r="P12" s="50" t="s">
        <v>73</v>
      </c>
    </row>
    <row r="13" spans="1:16" ht="12.75" customHeight="1" thickBot="1" x14ac:dyDescent="0.25">
      <c r="A13" s="12" t="str">
        <f t="shared" si="0"/>
        <v>BAVM 178 </v>
      </c>
      <c r="B13" s="5" t="str">
        <f t="shared" si="1"/>
        <v>I</v>
      </c>
      <c r="C13" s="12">
        <f t="shared" si="2"/>
        <v>53613.391900000002</v>
      </c>
      <c r="D13" s="11" t="str">
        <f t="shared" si="3"/>
        <v>vis</v>
      </c>
      <c r="E13" s="46">
        <f>VLOOKUP(C13,Active!C$21:E$972,3,FALSE)</f>
        <v>54213.617035808755</v>
      </c>
      <c r="F13" s="5" t="s">
        <v>60</v>
      </c>
      <c r="G13" s="11" t="str">
        <f t="shared" si="4"/>
        <v>53613.3919</v>
      </c>
      <c r="H13" s="12">
        <f t="shared" si="5"/>
        <v>44734</v>
      </c>
      <c r="I13" s="47" t="s">
        <v>77</v>
      </c>
      <c r="J13" s="48" t="s">
        <v>78</v>
      </c>
      <c r="K13" s="47">
        <v>44734</v>
      </c>
      <c r="L13" s="47" t="s">
        <v>79</v>
      </c>
      <c r="M13" s="48" t="s">
        <v>80</v>
      </c>
      <c r="N13" s="48" t="s">
        <v>81</v>
      </c>
      <c r="O13" s="49" t="s">
        <v>82</v>
      </c>
      <c r="P13" s="50" t="s">
        <v>83</v>
      </c>
    </row>
    <row r="14" spans="1:16" ht="12.75" customHeight="1" thickBot="1" x14ac:dyDescent="0.25">
      <c r="A14" s="12" t="str">
        <f t="shared" si="0"/>
        <v>BAVM 183 </v>
      </c>
      <c r="B14" s="5" t="str">
        <f t="shared" si="1"/>
        <v>II</v>
      </c>
      <c r="C14" s="12">
        <f t="shared" si="2"/>
        <v>53934.402099999999</v>
      </c>
      <c r="D14" s="11" t="str">
        <f t="shared" si="3"/>
        <v>vis</v>
      </c>
      <c r="E14" s="46">
        <f>VLOOKUP(C14,Active!C$21:E$972,3,FALSE)</f>
        <v>55134.117678136121</v>
      </c>
      <c r="F14" s="5" t="s">
        <v>60</v>
      </c>
      <c r="G14" s="11" t="str">
        <f t="shared" si="4"/>
        <v>53934.4021</v>
      </c>
      <c r="H14" s="12">
        <f t="shared" si="5"/>
        <v>45493.5</v>
      </c>
      <c r="I14" s="47" t="s">
        <v>84</v>
      </c>
      <c r="J14" s="48" t="s">
        <v>85</v>
      </c>
      <c r="K14" s="47" t="s">
        <v>86</v>
      </c>
      <c r="L14" s="47" t="s">
        <v>87</v>
      </c>
      <c r="M14" s="48" t="s">
        <v>80</v>
      </c>
      <c r="N14" s="48" t="s">
        <v>81</v>
      </c>
      <c r="O14" s="49" t="s">
        <v>88</v>
      </c>
      <c r="P14" s="50" t="s">
        <v>89</v>
      </c>
    </row>
    <row r="15" spans="1:16" ht="12.75" customHeight="1" thickBot="1" x14ac:dyDescent="0.25">
      <c r="A15" s="12" t="str">
        <f t="shared" si="0"/>
        <v>BAVM 201 </v>
      </c>
      <c r="B15" s="5" t="str">
        <f t="shared" si="1"/>
        <v>I</v>
      </c>
      <c r="C15" s="12">
        <f t="shared" si="2"/>
        <v>54631.5245</v>
      </c>
      <c r="D15" s="11" t="str">
        <f t="shared" si="3"/>
        <v>vis</v>
      </c>
      <c r="E15" s="46">
        <f>VLOOKUP(C15,Active!C$21:E$972,3,FALSE)</f>
        <v>57133.12461617362</v>
      </c>
      <c r="F15" s="5" t="s">
        <v>60</v>
      </c>
      <c r="G15" s="11" t="str">
        <f t="shared" si="4"/>
        <v>54631.5245</v>
      </c>
      <c r="H15" s="12">
        <f t="shared" si="5"/>
        <v>47143</v>
      </c>
      <c r="I15" s="47" t="s">
        <v>90</v>
      </c>
      <c r="J15" s="48" t="s">
        <v>91</v>
      </c>
      <c r="K15" s="47" t="s">
        <v>92</v>
      </c>
      <c r="L15" s="47" t="s">
        <v>93</v>
      </c>
      <c r="M15" s="48" t="s">
        <v>80</v>
      </c>
      <c r="N15" s="48" t="s">
        <v>81</v>
      </c>
      <c r="O15" s="49" t="s">
        <v>82</v>
      </c>
      <c r="P15" s="50" t="s">
        <v>94</v>
      </c>
    </row>
    <row r="16" spans="1:16" ht="12.75" customHeight="1" thickBot="1" x14ac:dyDescent="0.25">
      <c r="A16" s="12" t="str">
        <f t="shared" si="0"/>
        <v>BAVM 215 </v>
      </c>
      <c r="B16" s="5" t="str">
        <f t="shared" si="1"/>
        <v>I</v>
      </c>
      <c r="C16" s="12">
        <f t="shared" si="2"/>
        <v>55451.4064</v>
      </c>
      <c r="D16" s="11" t="str">
        <f t="shared" si="3"/>
        <v>vis</v>
      </c>
      <c r="E16" s="46">
        <f>VLOOKUP(C16,Active!C$21:E$972,3,FALSE)</f>
        <v>59484.145909523781</v>
      </c>
      <c r="F16" s="5" t="s">
        <v>60</v>
      </c>
      <c r="G16" s="11" t="str">
        <f t="shared" si="4"/>
        <v>55451.4064</v>
      </c>
      <c r="H16" s="12">
        <f t="shared" si="5"/>
        <v>49083</v>
      </c>
      <c r="I16" s="47" t="s">
        <v>102</v>
      </c>
      <c r="J16" s="48" t="s">
        <v>103</v>
      </c>
      <c r="K16" s="47" t="s">
        <v>104</v>
      </c>
      <c r="L16" s="47" t="s">
        <v>105</v>
      </c>
      <c r="M16" s="48" t="s">
        <v>80</v>
      </c>
      <c r="N16" s="48" t="s">
        <v>81</v>
      </c>
      <c r="O16" s="49" t="s">
        <v>82</v>
      </c>
      <c r="P16" s="50" t="s">
        <v>106</v>
      </c>
    </row>
    <row r="17" spans="1:16" ht="12.75" customHeight="1" thickBot="1" x14ac:dyDescent="0.25">
      <c r="A17" s="12" t="str">
        <f t="shared" si="0"/>
        <v>BAVM 220 </v>
      </c>
      <c r="B17" s="5" t="str">
        <f t="shared" si="1"/>
        <v>II</v>
      </c>
      <c r="C17" s="12">
        <f t="shared" si="2"/>
        <v>55712.431700000001</v>
      </c>
      <c r="D17" s="11" t="str">
        <f t="shared" si="3"/>
        <v>vis</v>
      </c>
      <c r="E17" s="46">
        <f>VLOOKUP(C17,Active!C$21:E$972,3,FALSE)</f>
        <v>60232.639123489251</v>
      </c>
      <c r="F17" s="5" t="s">
        <v>60</v>
      </c>
      <c r="G17" s="11" t="str">
        <f t="shared" si="4"/>
        <v>55712.4317</v>
      </c>
      <c r="H17" s="12">
        <f t="shared" si="5"/>
        <v>49700.5</v>
      </c>
      <c r="I17" s="47" t="s">
        <v>107</v>
      </c>
      <c r="J17" s="48" t="s">
        <v>108</v>
      </c>
      <c r="K17" s="47" t="s">
        <v>109</v>
      </c>
      <c r="L17" s="47" t="s">
        <v>110</v>
      </c>
      <c r="M17" s="48" t="s">
        <v>80</v>
      </c>
      <c r="N17" s="48" t="s">
        <v>81</v>
      </c>
      <c r="O17" s="49" t="s">
        <v>82</v>
      </c>
      <c r="P17" s="50" t="s">
        <v>111</v>
      </c>
    </row>
    <row r="18" spans="1:16" ht="12.75" customHeight="1" thickBot="1" x14ac:dyDescent="0.25">
      <c r="A18" s="12" t="str">
        <f t="shared" si="0"/>
        <v>OEJV 0160 </v>
      </c>
      <c r="B18" s="5" t="str">
        <f t="shared" si="1"/>
        <v>I</v>
      </c>
      <c r="C18" s="12">
        <f t="shared" si="2"/>
        <v>55831.351069999997</v>
      </c>
      <c r="D18" s="11" t="str">
        <f t="shared" si="3"/>
        <v>vis</v>
      </c>
      <c r="E18" s="46">
        <f>VLOOKUP(C18,Active!C$21:E$972,3,FALSE)</f>
        <v>60573.641859446434</v>
      </c>
      <c r="F18" s="5" t="s">
        <v>60</v>
      </c>
      <c r="G18" s="11" t="str">
        <f t="shared" si="4"/>
        <v>55831.35107</v>
      </c>
      <c r="H18" s="12">
        <f t="shared" si="5"/>
        <v>49982</v>
      </c>
      <c r="I18" s="47" t="s">
        <v>112</v>
      </c>
      <c r="J18" s="48" t="s">
        <v>113</v>
      </c>
      <c r="K18" s="47" t="s">
        <v>114</v>
      </c>
      <c r="L18" s="47" t="s">
        <v>115</v>
      </c>
      <c r="M18" s="48" t="s">
        <v>80</v>
      </c>
      <c r="N18" s="48" t="s">
        <v>52</v>
      </c>
      <c r="O18" s="49" t="s">
        <v>116</v>
      </c>
      <c r="P18" s="50" t="s">
        <v>117</v>
      </c>
    </row>
    <row r="19" spans="1:16" ht="12.75" customHeight="1" thickBot="1" x14ac:dyDescent="0.25">
      <c r="A19" s="12" t="str">
        <f t="shared" si="0"/>
        <v>BAVM 231 </v>
      </c>
      <c r="B19" s="5" t="str">
        <f t="shared" si="1"/>
        <v>I</v>
      </c>
      <c r="C19" s="12">
        <f t="shared" si="2"/>
        <v>56074.4202</v>
      </c>
      <c r="D19" s="11" t="str">
        <f t="shared" si="3"/>
        <v>vis</v>
      </c>
      <c r="E19" s="46">
        <f>VLOOKUP(C19,Active!C$21:E$972,3,FALSE)</f>
        <v>61270.64553813004</v>
      </c>
      <c r="F19" s="5" t="s">
        <v>60</v>
      </c>
      <c r="G19" s="11" t="str">
        <f t="shared" si="4"/>
        <v>56074.4202</v>
      </c>
      <c r="H19" s="12">
        <f t="shared" si="5"/>
        <v>50557</v>
      </c>
      <c r="I19" s="47" t="s">
        <v>118</v>
      </c>
      <c r="J19" s="48" t="s">
        <v>119</v>
      </c>
      <c r="K19" s="47" t="s">
        <v>120</v>
      </c>
      <c r="L19" s="47" t="s">
        <v>121</v>
      </c>
      <c r="M19" s="48" t="s">
        <v>80</v>
      </c>
      <c r="N19" s="48" t="s">
        <v>81</v>
      </c>
      <c r="O19" s="49" t="s">
        <v>82</v>
      </c>
      <c r="P19" s="50" t="s">
        <v>122</v>
      </c>
    </row>
    <row r="20" spans="1:16" ht="12.75" customHeight="1" thickBot="1" x14ac:dyDescent="0.25">
      <c r="A20" s="12" t="str">
        <f t="shared" si="0"/>
        <v>BAVM 238 </v>
      </c>
      <c r="B20" s="5" t="str">
        <f t="shared" si="1"/>
        <v>II</v>
      </c>
      <c r="C20" s="12">
        <f t="shared" si="2"/>
        <v>56897.424500000001</v>
      </c>
      <c r="D20" s="11" t="str">
        <f t="shared" si="3"/>
        <v>vis</v>
      </c>
      <c r="E20" s="46">
        <f>VLOOKUP(C20,Active!C$21:E$972,3,FALSE)</f>
        <v>63630.620351354657</v>
      </c>
      <c r="F20" s="5" t="s">
        <v>60</v>
      </c>
      <c r="G20" s="11" t="str">
        <f t="shared" si="4"/>
        <v>56897.4245</v>
      </c>
      <c r="H20" s="12">
        <f t="shared" si="5"/>
        <v>52504.5</v>
      </c>
      <c r="I20" s="47" t="s">
        <v>123</v>
      </c>
      <c r="J20" s="48" t="s">
        <v>124</v>
      </c>
      <c r="K20" s="47" t="s">
        <v>125</v>
      </c>
      <c r="L20" s="47" t="s">
        <v>126</v>
      </c>
      <c r="M20" s="48" t="s">
        <v>80</v>
      </c>
      <c r="N20" s="48" t="s">
        <v>81</v>
      </c>
      <c r="O20" s="49" t="s">
        <v>82</v>
      </c>
      <c r="P20" s="50" t="s">
        <v>127</v>
      </c>
    </row>
    <row r="21" spans="1:16" ht="12.75" customHeight="1" thickBot="1" x14ac:dyDescent="0.25">
      <c r="A21" s="12" t="str">
        <f t="shared" si="0"/>
        <v>IBVS 5493 </v>
      </c>
      <c r="B21" s="5" t="str">
        <f t="shared" si="1"/>
        <v>I</v>
      </c>
      <c r="C21" s="12">
        <f t="shared" si="2"/>
        <v>52859.771999999997</v>
      </c>
      <c r="D21" s="11" t="str">
        <f t="shared" si="3"/>
        <v>vis</v>
      </c>
      <c r="E21" s="46" t="e">
        <f>VLOOKUP(C21,Active!C$21:E$972,3,FALSE)</f>
        <v>#N/A</v>
      </c>
      <c r="F21" s="5" t="s">
        <v>60</v>
      </c>
      <c r="G21" s="11" t="str">
        <f t="shared" si="4"/>
        <v>52859.772</v>
      </c>
      <c r="H21" s="12">
        <f t="shared" si="5"/>
        <v>42951</v>
      </c>
      <c r="I21" s="47" t="s">
        <v>69</v>
      </c>
      <c r="J21" s="48" t="s">
        <v>70</v>
      </c>
      <c r="K21" s="47">
        <v>42951</v>
      </c>
      <c r="L21" s="47" t="s">
        <v>71</v>
      </c>
      <c r="M21" s="48" t="s">
        <v>65</v>
      </c>
      <c r="N21" s="48" t="s">
        <v>66</v>
      </c>
      <c r="O21" s="49" t="s">
        <v>72</v>
      </c>
      <c r="P21" s="50" t="s">
        <v>73</v>
      </c>
    </row>
    <row r="22" spans="1:16" ht="12.75" customHeight="1" thickBot="1" x14ac:dyDescent="0.25">
      <c r="A22" s="12" t="str">
        <f t="shared" si="0"/>
        <v>BAVM 203 </v>
      </c>
      <c r="B22" s="5" t="str">
        <f t="shared" si="1"/>
        <v>I</v>
      </c>
      <c r="C22" s="12">
        <f t="shared" si="2"/>
        <v>54708.423000000003</v>
      </c>
      <c r="D22" s="11" t="str">
        <f t="shared" si="3"/>
        <v>vis</v>
      </c>
      <c r="E22" s="46">
        <f>VLOOKUP(C22,Active!C$21:E$972,3,FALSE)</f>
        <v>57353.631997696124</v>
      </c>
      <c r="F22" s="5" t="s">
        <v>60</v>
      </c>
      <c r="G22" s="11" t="str">
        <f t="shared" si="4"/>
        <v>54708.4230</v>
      </c>
      <c r="H22" s="12">
        <f t="shared" si="5"/>
        <v>47325</v>
      </c>
      <c r="I22" s="47" t="s">
        <v>95</v>
      </c>
      <c r="J22" s="48" t="s">
        <v>96</v>
      </c>
      <c r="K22" s="47" t="s">
        <v>97</v>
      </c>
      <c r="L22" s="47" t="s">
        <v>98</v>
      </c>
      <c r="M22" s="48" t="s">
        <v>80</v>
      </c>
      <c r="N22" s="48" t="s">
        <v>99</v>
      </c>
      <c r="O22" s="49" t="s">
        <v>100</v>
      </c>
      <c r="P22" s="50" t="s">
        <v>101</v>
      </c>
    </row>
    <row r="23" spans="1:16" ht="12.75" customHeight="1" thickBot="1" x14ac:dyDescent="0.25">
      <c r="A23" s="12" t="str">
        <f t="shared" si="0"/>
        <v> BBS 124 </v>
      </c>
      <c r="B23" s="5" t="str">
        <f t="shared" si="1"/>
        <v>II</v>
      </c>
      <c r="C23" s="12">
        <f t="shared" si="2"/>
        <v>51811.467900000003</v>
      </c>
      <c r="D23" s="11" t="str">
        <f t="shared" si="3"/>
        <v>vis</v>
      </c>
      <c r="E23" s="46">
        <f>VLOOKUP(C23,Active!C$21:E$972,3,FALSE)</f>
        <v>49046.578108618523</v>
      </c>
      <c r="F23" s="5" t="s">
        <v>60</v>
      </c>
      <c r="G23" s="11" t="str">
        <f t="shared" si="4"/>
        <v>51811.4679</v>
      </c>
      <c r="H23" s="12">
        <f t="shared" si="5"/>
        <v>40470.5</v>
      </c>
      <c r="I23" s="47" t="s">
        <v>62</v>
      </c>
      <c r="J23" s="48" t="s">
        <v>63</v>
      </c>
      <c r="K23" s="47">
        <v>40470.5</v>
      </c>
      <c r="L23" s="47" t="s">
        <v>64</v>
      </c>
      <c r="M23" s="48" t="s">
        <v>65</v>
      </c>
      <c r="N23" s="48" t="s">
        <v>66</v>
      </c>
      <c r="O23" s="49" t="s">
        <v>67</v>
      </c>
      <c r="P23" s="49" t="s">
        <v>68</v>
      </c>
    </row>
    <row r="24" spans="1:16" x14ac:dyDescent="0.2">
      <c r="B24" s="5"/>
      <c r="F24" s="5"/>
    </row>
    <row r="25" spans="1:16" x14ac:dyDescent="0.2">
      <c r="B25" s="5"/>
      <c r="F25" s="5"/>
    </row>
    <row r="26" spans="1:16" x14ac:dyDescent="0.2">
      <c r="B26" s="5"/>
      <c r="F26" s="5"/>
    </row>
    <row r="27" spans="1:16" x14ac:dyDescent="0.2">
      <c r="B27" s="5"/>
      <c r="F27" s="5"/>
    </row>
    <row r="28" spans="1:16" x14ac:dyDescent="0.2">
      <c r="B28" s="5"/>
      <c r="F28" s="5"/>
    </row>
    <row r="29" spans="1:16" x14ac:dyDescent="0.2">
      <c r="B29" s="5"/>
      <c r="F29" s="5"/>
    </row>
    <row r="30" spans="1:16" x14ac:dyDescent="0.2">
      <c r="B30" s="5"/>
      <c r="F30" s="5"/>
    </row>
    <row r="31" spans="1:16" x14ac:dyDescent="0.2">
      <c r="B31" s="5"/>
      <c r="F31" s="5"/>
    </row>
    <row r="32" spans="1:16" x14ac:dyDescent="0.2">
      <c r="B32" s="5"/>
      <c r="F32" s="5"/>
    </row>
    <row r="33" spans="2:6" x14ac:dyDescent="0.2">
      <c r="B33" s="5"/>
      <c r="F33" s="5"/>
    </row>
    <row r="34" spans="2:6" x14ac:dyDescent="0.2">
      <c r="B34" s="5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</sheetData>
  <phoneticPr fontId="21" type="noConversion"/>
  <hyperlinks>
    <hyperlink ref="P21" r:id="rId1" display="http://www.konkoly.hu/cgi-bin/IBVS?5493" xr:uid="{00000000-0004-0000-0100-000000000000}"/>
    <hyperlink ref="P12" r:id="rId2" display="http://www.konkoly.hu/cgi-bin/IBVS?5493" xr:uid="{00000000-0004-0000-0100-000001000000}"/>
    <hyperlink ref="P13" r:id="rId3" display="http://www.bav-astro.de/sfs/BAVM_link.php?BAVMnr=178" xr:uid="{00000000-0004-0000-0100-000002000000}"/>
    <hyperlink ref="P14" r:id="rId4" display="http://www.bav-astro.de/sfs/BAVM_link.php?BAVMnr=183" xr:uid="{00000000-0004-0000-0100-000003000000}"/>
    <hyperlink ref="P15" r:id="rId5" display="http://www.bav-astro.de/sfs/BAVM_link.php?BAVMnr=201" xr:uid="{00000000-0004-0000-0100-000004000000}"/>
    <hyperlink ref="P22" r:id="rId6" display="http://www.bav-astro.de/sfs/BAVM_link.php?BAVMnr=203" xr:uid="{00000000-0004-0000-0100-000005000000}"/>
    <hyperlink ref="P16" r:id="rId7" display="http://www.bav-astro.de/sfs/BAVM_link.php?BAVMnr=215" xr:uid="{00000000-0004-0000-0100-000006000000}"/>
    <hyperlink ref="P17" r:id="rId8" display="http://www.bav-astro.de/sfs/BAVM_link.php?BAVMnr=220" xr:uid="{00000000-0004-0000-0100-000007000000}"/>
    <hyperlink ref="P18" r:id="rId9" display="http://var.astro.cz/oejv/issues/oejv0160.pdf" xr:uid="{00000000-0004-0000-0100-000008000000}"/>
    <hyperlink ref="P19" r:id="rId10" display="http://www.bav-astro.de/sfs/BAVM_link.php?BAVMnr=231" xr:uid="{00000000-0004-0000-0100-000009000000}"/>
    <hyperlink ref="P20" r:id="rId11" display="http://www.bav-astro.de/sfs/BAVM_link.php?BAVMnr=238" xr:uid="{00000000-0004-0000-0100-00000A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2024-08-21T05:16:07Z</dcterms:modified>
</cp:coreProperties>
</file>