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ECECC8-3FE8-45F6-8B57-DE09C2804D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C7" i="1"/>
  <c r="E31" i="1"/>
  <c r="F31" i="1"/>
  <c r="C8" i="1"/>
  <c r="E27" i="1"/>
  <c r="F27" i="1"/>
  <c r="G27" i="1"/>
  <c r="K27" i="1"/>
  <c r="D9" i="1"/>
  <c r="C9" i="1"/>
  <c r="E28" i="1"/>
  <c r="F28" i="1"/>
  <c r="G28" i="1"/>
  <c r="K28" i="1"/>
  <c r="E29" i="1"/>
  <c r="F29" i="1"/>
  <c r="G29" i="1"/>
  <c r="J29" i="1"/>
  <c r="E33" i="1"/>
  <c r="F33" i="1"/>
  <c r="G33" i="1"/>
  <c r="J33" i="1"/>
  <c r="E34" i="1"/>
  <c r="F34" i="1"/>
  <c r="E37" i="1"/>
  <c r="F37" i="1"/>
  <c r="G37" i="1"/>
  <c r="J37" i="1"/>
  <c r="E22" i="1"/>
  <c r="F22" i="1"/>
  <c r="G22" i="1"/>
  <c r="K22" i="1"/>
  <c r="E24" i="1"/>
  <c r="F24" i="1"/>
  <c r="G24" i="1"/>
  <c r="K24" i="1"/>
  <c r="E26" i="1"/>
  <c r="F26" i="1"/>
  <c r="G26" i="1"/>
  <c r="K26" i="1"/>
  <c r="C21" i="1"/>
  <c r="E21" i="1"/>
  <c r="F21" i="1"/>
  <c r="E32" i="1"/>
  <c r="F32" i="1"/>
  <c r="Q27" i="1"/>
  <c r="Q23" i="1"/>
  <c r="G23" i="2"/>
  <c r="C23" i="2"/>
  <c r="E23" i="2"/>
  <c r="G22" i="2"/>
  <c r="C22" i="2"/>
  <c r="G21" i="2"/>
  <c r="C21" i="2"/>
  <c r="G20" i="2"/>
  <c r="C20" i="2"/>
  <c r="E20" i="2"/>
  <c r="G19" i="2"/>
  <c r="C19" i="2"/>
  <c r="E19" i="2"/>
  <c r="G18" i="2"/>
  <c r="C18" i="2"/>
  <c r="E18" i="2"/>
  <c r="G26" i="2"/>
  <c r="C26" i="2"/>
  <c r="E26" i="2"/>
  <c r="G17" i="2"/>
  <c r="C17" i="2"/>
  <c r="G16" i="2"/>
  <c r="C16" i="2"/>
  <c r="E16" i="2"/>
  <c r="G15" i="2"/>
  <c r="C15" i="2"/>
  <c r="E15" i="2"/>
  <c r="G25" i="2"/>
  <c r="C25" i="2"/>
  <c r="E25" i="2"/>
  <c r="G14" i="2"/>
  <c r="C14" i="2"/>
  <c r="E14" i="2"/>
  <c r="G13" i="2"/>
  <c r="C13" i="2"/>
  <c r="G12" i="2"/>
  <c r="C12" i="2"/>
  <c r="E12" i="2"/>
  <c r="G24" i="2"/>
  <c r="C24" i="2"/>
  <c r="G11" i="2"/>
  <c r="C11" i="2"/>
  <c r="E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26" i="2"/>
  <c r="B26" i="2"/>
  <c r="D26" i="2"/>
  <c r="A26" i="2"/>
  <c r="H17" i="2"/>
  <c r="D17" i="2"/>
  <c r="B17" i="2"/>
  <c r="A17" i="2"/>
  <c r="H16" i="2"/>
  <c r="B16" i="2"/>
  <c r="D16" i="2"/>
  <c r="A16" i="2"/>
  <c r="H15" i="2"/>
  <c r="D15" i="2"/>
  <c r="B15" i="2"/>
  <c r="A15" i="2"/>
  <c r="H25" i="2"/>
  <c r="B25" i="2"/>
  <c r="D25" i="2"/>
  <c r="A25" i="2"/>
  <c r="H14" i="2"/>
  <c r="D14" i="2"/>
  <c r="B14" i="2"/>
  <c r="A14" i="2"/>
  <c r="H13" i="2"/>
  <c r="B13" i="2"/>
  <c r="D13" i="2"/>
  <c r="A13" i="2"/>
  <c r="H12" i="2"/>
  <c r="D12" i="2"/>
  <c r="B12" i="2"/>
  <c r="A12" i="2"/>
  <c r="H24" i="2"/>
  <c r="B24" i="2"/>
  <c r="D24" i="2"/>
  <c r="A24" i="2"/>
  <c r="H11" i="2"/>
  <c r="D11" i="2"/>
  <c r="B11" i="2"/>
  <c r="A11" i="2"/>
  <c r="Q34" i="1"/>
  <c r="Q37" i="1"/>
  <c r="Q35" i="1"/>
  <c r="Q36" i="1"/>
  <c r="F16" i="1"/>
  <c r="F17" i="1" s="1"/>
  <c r="C17" i="1"/>
  <c r="Q33" i="1"/>
  <c r="Q22" i="1"/>
  <c r="Q24" i="1"/>
  <c r="Q26" i="1"/>
  <c r="Q32" i="1"/>
  <c r="Q31" i="1"/>
  <c r="Q29" i="1"/>
  <c r="Q30" i="1"/>
  <c r="Q28" i="1"/>
  <c r="Q25" i="1"/>
  <c r="Q21" i="1"/>
  <c r="E21" i="2"/>
  <c r="E17" i="2"/>
  <c r="E24" i="2"/>
  <c r="E36" i="1"/>
  <c r="F36" i="1"/>
  <c r="G36" i="1"/>
  <c r="J36" i="1"/>
  <c r="G23" i="1"/>
  <c r="E35" i="1"/>
  <c r="F35" i="1"/>
  <c r="G35" i="1"/>
  <c r="K35" i="1"/>
  <c r="G34" i="1"/>
  <c r="J34" i="1"/>
  <c r="E30" i="1"/>
  <c r="F30" i="1"/>
  <c r="G30" i="1"/>
  <c r="J30" i="1"/>
  <c r="G38" i="1"/>
  <c r="K38" i="1"/>
  <c r="E25" i="1"/>
  <c r="F25" i="1"/>
  <c r="G25" i="1"/>
  <c r="J25" i="1"/>
  <c r="E23" i="1"/>
  <c r="F23" i="1"/>
  <c r="G31" i="1"/>
  <c r="K31" i="1"/>
  <c r="E38" i="1"/>
  <c r="F38" i="1"/>
  <c r="K23" i="1"/>
  <c r="E13" i="2"/>
  <c r="E22" i="2"/>
  <c r="C11" i="1"/>
  <c r="C12" i="1"/>
  <c r="C16" i="1" l="1"/>
  <c r="D18" i="1" s="1"/>
  <c r="O33" i="1"/>
  <c r="O35" i="1"/>
  <c r="O25" i="1"/>
  <c r="O38" i="1"/>
  <c r="O30" i="1"/>
  <c r="O27" i="1"/>
  <c r="O23" i="1"/>
  <c r="O37" i="1"/>
  <c r="O22" i="1"/>
  <c r="O29" i="1"/>
  <c r="O32" i="1"/>
  <c r="O26" i="1"/>
  <c r="O36" i="1"/>
  <c r="C15" i="1"/>
  <c r="O21" i="1"/>
  <c r="O34" i="1"/>
  <c r="O28" i="1"/>
  <c r="O24" i="1"/>
  <c r="O31" i="1"/>
  <c r="C18" i="1" l="1"/>
  <c r="F18" i="1"/>
  <c r="F19" i="1" s="1"/>
</calcChain>
</file>

<file path=xl/sharedStrings.xml><?xml version="1.0" encoding="utf-8"?>
<sst xmlns="http://schemas.openxmlformats.org/spreadsheetml/2006/main" count="225" uniqueCount="148">
  <si>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</si>
  <si>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</si>
  <si>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</si>
  <si>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</si>
  <si>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</si>
  <si>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</si>
  <si>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</si>
  <si>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</si>
  <si>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</si>
  <si>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</si>
  <si>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</si>
  <si>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</si>
  <si>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</si>
  <si>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</si>
  <si>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</si>
  <si>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</si>
  <si>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</si>
  <si>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</si>
  <si>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</si>
  <si>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</si>
  <si>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</si>
  <si>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</si>
  <si>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</si>
  <si>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</si>
  <si>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</si>
  <si>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</si>
  <si>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</si>
  <si>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</si>
  <si>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EB/KW</t>
  </si>
  <si>
    <t>IBVS 5296</t>
  </si>
  <si>
    <t>?</t>
  </si>
  <si>
    <t>IBVS 5690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</si>
  <si>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</si>
  <si>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</si>
  <si>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</si>
  <si>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</si>
  <si>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</si>
  <si>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</si>
  <si>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</si>
  <si>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</si>
  <si>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</si>
  <si>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5806</t>
  </si>
  <si>
    <t>II</t>
  </si>
  <si>
    <t>Start of linear fit &gt;&gt;&gt;&gt;&gt;&gt;&gt;&gt;&gt;&gt;&gt;&gt;&gt;&gt;&gt;&gt;&gt;&gt;&gt;&gt;&gt;</t>
  </si>
  <si>
    <t>IBVS 5874</t>
  </si>
  <si>
    <t>OEJV 0074</t>
  </si>
  <si>
    <t>CCD</t>
  </si>
  <si>
    <t>Add cycle</t>
  </si>
  <si>
    <t>Old Cycle</t>
  </si>
  <si>
    <t>IBVS 6094</t>
  </si>
  <si>
    <t>ii</t>
  </si>
  <si>
    <t>IBVS 6118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</si>
  <si>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</si>
  <si>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</si>
  <si>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</si>
  <si>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</si>
  <si>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</si>
  <si>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</si>
  <si>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</si>
  <si>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</si>
  <si>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</si>
  <si>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</si>
  <si>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</si>
  <si>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</si>
  <si>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2451707.44273 </t>
  </si>
  <si>
    <t> 11.06.2000 22:37 </t>
  </si>
  <si>
    <t> 0.00761 </t>
  </si>
  <si>
    <t>C </t>
  </si>
  <si>
    <t>o</t>
  </si>
  <si>
    <t> J.Šafár </t>
  </si>
  <si>
    <t>OEJV 0074 </t>
  </si>
  <si>
    <t>2451713.438 </t>
  </si>
  <si>
    <t> 17.06.2000 22:30 </t>
  </si>
  <si>
    <t> 0.002 </t>
  </si>
  <si>
    <t>E </t>
  </si>
  <si>
    <t> R.Diethelm </t>
  </si>
  <si>
    <t> BBS 123 </t>
  </si>
  <si>
    <t>2451731.44570 </t>
  </si>
  <si>
    <t> 05.07.2000 22:41 </t>
  </si>
  <si>
    <t> 0.00805 </t>
  </si>
  <si>
    <t> P.Hájek </t>
  </si>
  <si>
    <t>2451806.3311 </t>
  </si>
  <si>
    <t> 18.09.2000 19:56 </t>
  </si>
  <si>
    <t> 0.0056 </t>
  </si>
  <si>
    <t> K.&amp; M.Rätz </t>
  </si>
  <si>
    <t>BAVM 152 </t>
  </si>
  <si>
    <t>2452127.48620 </t>
  </si>
  <si>
    <t> 05.08.2001 23:40 </t>
  </si>
  <si>
    <t> 0.00678 </t>
  </si>
  <si>
    <t> K.Koss </t>
  </si>
  <si>
    <t>2452483.4417 </t>
  </si>
  <si>
    <t> 27.07.2002 22:36 </t>
  </si>
  <si>
    <t> 0.0047 </t>
  </si>
  <si>
    <t> BBS 128 </t>
  </si>
  <si>
    <t>2453340.5786 </t>
  </si>
  <si>
    <t> 01.12.2004 01:53 </t>
  </si>
  <si>
    <t> 0.0112 </t>
  </si>
  <si>
    <t> T.Krajci </t>
  </si>
  <si>
    <t>IBVS 5690 </t>
  </si>
  <si>
    <t>2453578.4451 </t>
  </si>
  <si>
    <t> 26.07.2005 22:40 </t>
  </si>
  <si>
    <t> 0.0126 </t>
  </si>
  <si>
    <t>-I</t>
  </si>
  <si>
    <t> F.Agerer </t>
  </si>
  <si>
    <t>BAVM 178 </t>
  </si>
  <si>
    <t>2453620.4490 </t>
  </si>
  <si>
    <t> 06.09.2005 22:46 </t>
  </si>
  <si>
    <t>44453</t>
  </si>
  <si>
    <t> 0.0121 </t>
  </si>
  <si>
    <t>2453919.7626 </t>
  </si>
  <si>
    <t> 03.07.2006 06:18 </t>
  </si>
  <si>
    <t>45076.5</t>
  </si>
  <si>
    <t> 0.0141 </t>
  </si>
  <si>
    <t>IBVS 5806 </t>
  </si>
  <si>
    <t>2453932.4790 </t>
  </si>
  <si>
    <t> 15.07.2006 23:29 </t>
  </si>
  <si>
    <t>45103</t>
  </si>
  <si>
    <t> 0.0092 </t>
  </si>
  <si>
    <t> P.Frank </t>
  </si>
  <si>
    <t>BAVM 183 </t>
  </si>
  <si>
    <t>2454631.4395 </t>
  </si>
  <si>
    <t> 13.06.2008 22:32 </t>
  </si>
  <si>
    <t>46559</t>
  </si>
  <si>
    <t> 0.0160 </t>
  </si>
  <si>
    <t>BAVM 201 </t>
  </si>
  <si>
    <t>2455393.5185 </t>
  </si>
  <si>
    <t> 16.07.2010 00:26 </t>
  </si>
  <si>
    <t>48146.5</t>
  </si>
  <si>
    <t> 0.0146 </t>
  </si>
  <si>
    <t>BAVM 215 </t>
  </si>
  <si>
    <t>2456455.3963 </t>
  </si>
  <si>
    <t> 11.06.2013 21:30 </t>
  </si>
  <si>
    <t>50358.5</t>
  </si>
  <si>
    <t> 0.0204 </t>
  </si>
  <si>
    <t> F.Salvaggio </t>
  </si>
  <si>
    <t>IBVS 6094 </t>
  </si>
  <si>
    <t>2456494.5205 </t>
  </si>
  <si>
    <t> 21.07.2013 00:29 </t>
  </si>
  <si>
    <t>50440</t>
  </si>
  <si>
    <t> 0.0205 </t>
  </si>
  <si>
    <t>BAVM 234 </t>
  </si>
  <si>
    <t>2456930.4080 </t>
  </si>
  <si>
    <t> 29.09.2014 21:47 </t>
  </si>
  <si>
    <t>51348</t>
  </si>
  <si>
    <t> 0.0220 </t>
  </si>
  <si>
    <t>BAVM 239 </t>
  </si>
  <si>
    <t>OEJV 0211</t>
  </si>
  <si>
    <t>V0884 Cyg / gsc 2655-3081?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</si>
</sst>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2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V0884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95-480D-8CF2-4D4809AB2C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95-480D-8CF2-4D4809AB2C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">
                  <c:v>5.5533580016344786E-3</c:v>
                </c:pt>
                <c:pt idx="8">
                  <c:v>1.2641638495551888E-2</c:v>
                </c:pt>
                <c:pt idx="9">
                  <c:v>1.2111251002352219E-2</c:v>
                </c:pt>
                <c:pt idx="11">
                  <c:v>9.1998009957023896E-3</c:v>
                </c:pt>
                <c:pt idx="12">
                  <c:v>1.5978153001924511E-2</c:v>
                </c:pt>
                <c:pt idx="13">
                  <c:v>1.4598265501263086E-2</c:v>
                </c:pt>
                <c:pt idx="15">
                  <c:v>2.0471479998377617E-2</c:v>
                </c:pt>
                <c:pt idx="16">
                  <c:v>2.1996716001012828E-2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95-480D-8CF2-4D4809AB2C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7.6137560026836582E-3</c:v>
                </c:pt>
                <c:pt idx="2">
                  <c:v>2.2508434994961135E-3</c:v>
                </c:pt>
                <c:pt idx="3">
                  <c:v>8.052106000832282E-3</c:v>
                </c:pt>
                <c:pt idx="5">
                  <c:v>6.7798809977830388E-3</c:v>
                </c:pt>
                <c:pt idx="6">
                  <c:v>4.735511502076406E-3</c:v>
                </c:pt>
                <c:pt idx="7">
                  <c:v>1.1230290001549292E-2</c:v>
                </c:pt>
                <c:pt idx="10">
                  <c:v>1.4141575520625338E-2</c:v>
                </c:pt>
                <c:pt idx="14">
                  <c:v>2.0398069500515703E-2</c:v>
                </c:pt>
                <c:pt idx="17">
                  <c:v>2.2816534219600726E-2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95-480D-8CF2-4D4809AB2C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95-480D-8CF2-4D4809AB2C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95-480D-8CF2-4D4809AB2C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95-480D-8CF2-4D4809AB2C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-5.2313850877432802E-2</c:v>
                </c:pt>
                <c:pt idx="1">
                  <c:v>5.7601730335911649E-3</c:v>
                </c:pt>
                <c:pt idx="2">
                  <c:v>5.7781112884811511E-3</c:v>
                </c:pt>
                <c:pt idx="3">
                  <c:v>5.8319260531510958E-3</c:v>
                </c:pt>
                <c:pt idx="4">
                  <c:v>6.0557954741780745E-3</c:v>
                </c:pt>
                <c:pt idx="5">
                  <c:v>7.0158508758899202E-3</c:v>
                </c:pt>
                <c:pt idx="6">
                  <c:v>8.0799481559636621E-3</c:v>
                </c:pt>
                <c:pt idx="7">
                  <c:v>1.0642248484448724E-2</c:v>
                </c:pt>
                <c:pt idx="8">
                  <c:v>1.1353320908287612E-2</c:v>
                </c:pt>
                <c:pt idx="9">
                  <c:v>1.1478888692517494E-2</c:v>
                </c:pt>
                <c:pt idx="10">
                  <c:v>1.2373648846429802E-2</c:v>
                </c:pt>
                <c:pt idx="11">
                  <c:v>1.2411677946796568E-2</c:v>
                </c:pt>
                <c:pt idx="12">
                  <c:v>1.4501125876381693E-2</c:v>
                </c:pt>
                <c:pt idx="13">
                  <c:v>1.6779284247409432E-2</c:v>
                </c:pt>
                <c:pt idx="14">
                  <c:v>1.9953637832740678E-2</c:v>
                </c:pt>
                <c:pt idx="15">
                  <c:v>2.0070595254623361E-2</c:v>
                </c:pt>
                <c:pt idx="16">
                  <c:v>2.1373630089831674E-2</c:v>
                </c:pt>
                <c:pt idx="17">
                  <c:v>2.4321244133353542E-2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95-480D-8CF2-4D4809AB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09752"/>
        <c:axId val="1"/>
      </c:scatterChart>
      <c:valAx>
        <c:axId val="77490975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0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V0884 Cyg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E-4BE3-87EA-9809CC0C95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8E-4BE3-87EA-9809CC0C95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">
                  <c:v>5.5533580016344786E-3</c:v>
                </c:pt>
                <c:pt idx="8">
                  <c:v>1.2641638495551888E-2</c:v>
                </c:pt>
                <c:pt idx="9">
                  <c:v>1.2111251002352219E-2</c:v>
                </c:pt>
                <c:pt idx="11">
                  <c:v>9.1998009957023896E-3</c:v>
                </c:pt>
                <c:pt idx="12">
                  <c:v>1.5978153001924511E-2</c:v>
                </c:pt>
                <c:pt idx="13">
                  <c:v>1.4598265501263086E-2</c:v>
                </c:pt>
                <c:pt idx="15">
                  <c:v>2.0471479998377617E-2</c:v>
                </c:pt>
                <c:pt idx="16">
                  <c:v>2.1996716001012828E-2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8E-4BE3-87EA-9809CC0C95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7.6137560026836582E-3</c:v>
                </c:pt>
                <c:pt idx="2">
                  <c:v>2.2508434994961135E-3</c:v>
                </c:pt>
                <c:pt idx="3">
                  <c:v>8.052106000832282E-3</c:v>
                </c:pt>
                <c:pt idx="5">
                  <c:v>6.7798809977830388E-3</c:v>
                </c:pt>
                <c:pt idx="6">
                  <c:v>4.735511502076406E-3</c:v>
                </c:pt>
                <c:pt idx="7">
                  <c:v>1.1230290001549292E-2</c:v>
                </c:pt>
                <c:pt idx="10">
                  <c:v>1.4141575520625338E-2</c:v>
                </c:pt>
                <c:pt idx="14">
                  <c:v>2.0398069500515703E-2</c:v>
                </c:pt>
                <c:pt idx="17">
                  <c:v>2.2816534219600726E-2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8E-4BE3-87EA-9809CC0C95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8E-4BE3-87EA-9809CC0C95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8E-4BE3-87EA-9809CC0C95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2.2000000000000001E-3</c:v>
                  </c:pt>
                  <c:pt idx="9">
                    <c:v>1.5E-3</c:v>
                  </c:pt>
                  <c:pt idx="10">
                    <c:v>4.0000000000000002E-4</c:v>
                  </c:pt>
                  <c:pt idx="11">
                    <c:v>2.0999999999999999E-3</c:v>
                  </c:pt>
                  <c:pt idx="12">
                    <c:v>1E-3</c:v>
                  </c:pt>
                  <c:pt idx="13">
                    <c:v>5.7000000000000002E-3</c:v>
                  </c:pt>
                  <c:pt idx="14">
                    <c:v>5.9999999999999995E-4</c:v>
                  </c:pt>
                  <c:pt idx="15">
                    <c:v>3.5999999999999999E-3</c:v>
                  </c:pt>
                  <c:pt idx="16">
                    <c:v>1.4E-3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8E-4BE3-87EA-9809CC0C95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40468</c:v>
                </c:pt>
                <c:pt idx="2">
                  <c:v>40480.5</c:v>
                </c:pt>
                <c:pt idx="3">
                  <c:v>40518</c:v>
                </c:pt>
                <c:pt idx="4">
                  <c:v>40674</c:v>
                </c:pt>
                <c:pt idx="5">
                  <c:v>41343</c:v>
                </c:pt>
                <c:pt idx="6">
                  <c:v>42084.5</c:v>
                </c:pt>
                <c:pt idx="7">
                  <c:v>43870</c:v>
                </c:pt>
                <c:pt idx="8">
                  <c:v>44365.5</c:v>
                </c:pt>
                <c:pt idx="9">
                  <c:v>44453</c:v>
                </c:pt>
                <c:pt idx="10">
                  <c:v>45076.5</c:v>
                </c:pt>
                <c:pt idx="11">
                  <c:v>45103</c:v>
                </c:pt>
                <c:pt idx="12">
                  <c:v>46559</c:v>
                </c:pt>
                <c:pt idx="13">
                  <c:v>48146.5</c:v>
                </c:pt>
                <c:pt idx="14">
                  <c:v>50358.5</c:v>
                </c:pt>
                <c:pt idx="15">
                  <c:v>50440</c:v>
                </c:pt>
                <c:pt idx="16">
                  <c:v>51348</c:v>
                </c:pt>
                <c:pt idx="17">
                  <c:v>53402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-5.2313850877432802E-2</c:v>
                </c:pt>
                <c:pt idx="1">
                  <c:v>5.7601730335911649E-3</c:v>
                </c:pt>
                <c:pt idx="2">
                  <c:v>5.7781112884811511E-3</c:v>
                </c:pt>
                <c:pt idx="3">
                  <c:v>5.8319260531510958E-3</c:v>
                </c:pt>
                <c:pt idx="4">
                  <c:v>6.0557954741780745E-3</c:v>
                </c:pt>
                <c:pt idx="5">
                  <c:v>7.0158508758899202E-3</c:v>
                </c:pt>
                <c:pt idx="6">
                  <c:v>8.0799481559636621E-3</c:v>
                </c:pt>
                <c:pt idx="7">
                  <c:v>1.0642248484448724E-2</c:v>
                </c:pt>
                <c:pt idx="8">
                  <c:v>1.1353320908287612E-2</c:v>
                </c:pt>
                <c:pt idx="9">
                  <c:v>1.1478888692517494E-2</c:v>
                </c:pt>
                <c:pt idx="10">
                  <c:v>1.2373648846429802E-2</c:v>
                </c:pt>
                <c:pt idx="11">
                  <c:v>1.2411677946796568E-2</c:v>
                </c:pt>
                <c:pt idx="12">
                  <c:v>1.4501125876381693E-2</c:v>
                </c:pt>
                <c:pt idx="13">
                  <c:v>1.6779284247409432E-2</c:v>
                </c:pt>
                <c:pt idx="14">
                  <c:v>1.9953637832740678E-2</c:v>
                </c:pt>
                <c:pt idx="15">
                  <c:v>2.0070595254623361E-2</c:v>
                </c:pt>
                <c:pt idx="16">
                  <c:v>2.1373630089831674E-2</c:v>
                </c:pt>
                <c:pt idx="17">
                  <c:v>2.4321244133353542E-2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8E-4BE3-87EA-9809CC0C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05792"/>
        <c:axId val="1"/>
      </c:scatterChart>
      <c:valAx>
        <c:axId val="7749057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05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7016FFB-A341-89A6-9843-8C597E716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19050</xdr:rowOff>
    </xdr:from>
    <xdr:to>
      <xdr:col>27</xdr:col>
      <xdr:colOff>114300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312C0AE-5E65-B37F-32BF-DD70157E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06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1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147</v>
      </c>
    </row>
    <row r="2" spans="1:6" x14ac:dyDescent="0.2">
      <c r="A2" t="s">
        <v>24</v>
      </c>
      <c r="B2" s="10" t="s">
        <v>28</v>
      </c>
    </row>
    <row r="4" spans="1:6" ht="14.25" thickTop="1" thickBot="1" x14ac:dyDescent="0.25">
      <c r="A4" s="7" t="s">
        <v>0</v>
      </c>
      <c r="C4" s="3">
        <v>32280.7461</v>
      </c>
      <c r="D4" s="4">
        <v>0.480050633</v>
      </c>
    </row>
    <row r="5" spans="1:6" ht="13.5" thickTop="1" x14ac:dyDescent="0.2">
      <c r="A5" s="13" t="s">
        <v>34</v>
      </c>
      <c r="B5" s="10"/>
      <c r="C5" s="14">
        <v>-9.5</v>
      </c>
      <c r="D5" s="10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32280.7461</v>
      </c>
    </row>
    <row r="8" spans="1:6" x14ac:dyDescent="0.2">
      <c r="A8" t="s">
        <v>3</v>
      </c>
      <c r="C8">
        <f>+D4</f>
        <v>0.480050633</v>
      </c>
    </row>
    <row r="9" spans="1:6" x14ac:dyDescent="0.2">
      <c r="A9" s="29" t="s">
        <v>43</v>
      </c>
      <c r="B9" s="30">
        <v>21</v>
      </c>
      <c r="C9" s="28" t="str">
        <f>"F"&amp;B9</f>
        <v>F21</v>
      </c>
      <c r="D9" s="26" t="str">
        <f>"G"&amp;B9</f>
        <v>G21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27">
        <f ca="1">INTERCEPT(INDIRECT($D$9):G990,INDIRECT($C$9):F990)</f>
        <v>-5.2313850877432802E-2</v>
      </c>
      <c r="D11" s="5"/>
      <c r="E11" s="10"/>
    </row>
    <row r="12" spans="1:6" x14ac:dyDescent="0.2">
      <c r="A12" s="10" t="s">
        <v>17</v>
      </c>
      <c r="B12" s="10"/>
      <c r="C12" s="27">
        <f ca="1">SLOPE(INDIRECT($D$9):G990,INDIRECT($C$9):F990)</f>
        <v>1.4350603911985759E-6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(C7+C11)+(C8+C12)*INT(MAX(F21:F3531))</f>
        <v>57916.434324710135</v>
      </c>
      <c r="E15" s="17" t="s">
        <v>47</v>
      </c>
      <c r="F15" s="14">
        <v>1</v>
      </c>
    </row>
    <row r="16" spans="1:6" x14ac:dyDescent="0.2">
      <c r="A16" s="19" t="s">
        <v>4</v>
      </c>
      <c r="B16" s="10"/>
      <c r="C16" s="20">
        <f ca="1">+C8+C12</f>
        <v>0.48005206806039119</v>
      </c>
      <c r="E16" s="17" t="s">
        <v>36</v>
      </c>
      <c r="F16" s="18">
        <f ca="1">NOW()+15018.5+$C$5/24</f>
        <v>60342.702325925922</v>
      </c>
    </row>
    <row r="17" spans="1:17" ht="13.5" thickBot="1" x14ac:dyDescent="0.25">
      <c r="A17" s="17" t="s">
        <v>32</v>
      </c>
      <c r="B17" s="10"/>
      <c r="C17" s="10">
        <f>COUNT(C21:C2189)</f>
        <v>18</v>
      </c>
      <c r="E17" s="17" t="s">
        <v>48</v>
      </c>
      <c r="F17" s="18">
        <f ca="1">ROUND(2*(F16-$C$7)/$C$8,0)/2+F15</f>
        <v>58457</v>
      </c>
    </row>
    <row r="18" spans="1:17" ht="14.25" thickTop="1" thickBot="1" x14ac:dyDescent="0.25">
      <c r="A18" s="19" t="s">
        <v>5</v>
      </c>
      <c r="B18" s="10"/>
      <c r="C18" s="22">
        <f ca="1">+C15</f>
        <v>57916.434324710135</v>
      </c>
      <c r="D18" s="23">
        <f ca="1">+C16</f>
        <v>0.48005206806039119</v>
      </c>
      <c r="E18" s="17" t="s">
        <v>37</v>
      </c>
      <c r="F18" s="26">
        <f ca="1">ROUND(2*(F16-$C$15)/$C$16,0)/2+F15</f>
        <v>5055</v>
      </c>
    </row>
    <row r="19" spans="1:17" ht="13.5" thickTop="1" x14ac:dyDescent="0.2">
      <c r="E19" s="17" t="s">
        <v>38</v>
      </c>
      <c r="F19" s="21">
        <f ca="1">+$C$15+$C$16*F18-15018.5-$C$5/24</f>
        <v>45324.993362088746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60</v>
      </c>
      <c r="I20" s="9" t="s">
        <v>63</v>
      </c>
      <c r="J20" s="9" t="s">
        <v>57</v>
      </c>
      <c r="K20" s="9" t="s">
        <v>46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B21" s="5"/>
      <c r="C21" s="12">
        <f>+C4</f>
        <v>32280.7461</v>
      </c>
      <c r="D21" s="12" t="s">
        <v>14</v>
      </c>
      <c r="E21">
        <f t="shared" ref="E21:E37" si="0">+(C21-C$7)/C$8</f>
        <v>0</v>
      </c>
      <c r="F21">
        <f t="shared" ref="F21:F38" si="1">ROUND(2*E21,0)/2</f>
        <v>0</v>
      </c>
      <c r="H21">
        <v>0</v>
      </c>
      <c r="O21">
        <f t="shared" ref="O21:O37" ca="1" si="2">+C$11+C$12*$F21</f>
        <v>-5.2313850877432802E-2</v>
      </c>
      <c r="Q21" s="2">
        <f t="shared" ref="Q21:Q37" si="3">+C21-15018.5</f>
        <v>17262.2461</v>
      </c>
    </row>
    <row r="22" spans="1:17" x14ac:dyDescent="0.2">
      <c r="A22" s="31" t="s">
        <v>45</v>
      </c>
      <c r="B22" s="32" t="s">
        <v>40</v>
      </c>
      <c r="C22" s="31">
        <v>51707.442730000002</v>
      </c>
      <c r="D22" s="31">
        <v>3.5000000000000001E-3</v>
      </c>
      <c r="E22">
        <f t="shared" si="0"/>
        <v>40468.015860318636</v>
      </c>
      <c r="F22">
        <f t="shared" si="1"/>
        <v>40468</v>
      </c>
      <c r="G22">
        <f t="shared" ref="G22:G31" si="4">+C22-(C$7+F22*C$8)</f>
        <v>7.6137560026836582E-3</v>
      </c>
      <c r="K22">
        <f>+G22</f>
        <v>7.6137560026836582E-3</v>
      </c>
      <c r="O22">
        <f t="shared" ca="1" si="2"/>
        <v>5.7601730335911649E-3</v>
      </c>
      <c r="Q22" s="2">
        <f t="shared" si="3"/>
        <v>36688.942730000002</v>
      </c>
    </row>
    <row r="23" spans="1:17" x14ac:dyDescent="0.2">
      <c r="A23" s="58" t="s">
        <v>76</v>
      </c>
      <c r="B23" s="59" t="s">
        <v>42</v>
      </c>
      <c r="C23" s="60">
        <v>51713.438000000002</v>
      </c>
      <c r="D23" s="60" t="s">
        <v>63</v>
      </c>
      <c r="E23">
        <f t="shared" si="0"/>
        <v>40480.504688762696</v>
      </c>
      <c r="F23">
        <f t="shared" si="1"/>
        <v>40480.5</v>
      </c>
      <c r="G23">
        <f t="shared" si="4"/>
        <v>2.2508434994961135E-3</v>
      </c>
      <c r="K23">
        <f>+G23</f>
        <v>2.2508434994961135E-3</v>
      </c>
      <c r="O23">
        <f t="shared" ca="1" si="2"/>
        <v>5.7781112884811511E-3</v>
      </c>
      <c r="Q23" s="2">
        <f t="shared" si="3"/>
        <v>36694.938000000002</v>
      </c>
    </row>
    <row r="24" spans="1:17" x14ac:dyDescent="0.2">
      <c r="A24" s="31" t="s">
        <v>45</v>
      </c>
      <c r="B24" s="32" t="s">
        <v>40</v>
      </c>
      <c r="C24" s="31">
        <v>51731.445699999997</v>
      </c>
      <c r="D24" s="31" t="s">
        <v>46</v>
      </c>
      <c r="E24">
        <f t="shared" si="0"/>
        <v>40518.016773451469</v>
      </c>
      <c r="F24">
        <f t="shared" si="1"/>
        <v>40518</v>
      </c>
      <c r="G24">
        <f t="shared" si="4"/>
        <v>8.052106000832282E-3</v>
      </c>
      <c r="K24">
        <f>+G24</f>
        <v>8.052106000832282E-3</v>
      </c>
      <c r="O24">
        <f t="shared" ca="1" si="2"/>
        <v>5.8319260531510958E-3</v>
      </c>
      <c r="Q24" s="2">
        <f t="shared" si="3"/>
        <v>36712.945699999997</v>
      </c>
    </row>
    <row r="25" spans="1:17" x14ac:dyDescent="0.2">
      <c r="A25" s="11" t="s">
        <v>29</v>
      </c>
      <c r="B25" s="33"/>
      <c r="C25" s="34">
        <v>51806.331100000003</v>
      </c>
      <c r="D25" s="34">
        <v>6.9999999999999999E-4</v>
      </c>
      <c r="E25">
        <f t="shared" si="0"/>
        <v>40674.011568275557</v>
      </c>
      <c r="F25">
        <f t="shared" si="1"/>
        <v>40674</v>
      </c>
      <c r="G25">
        <f t="shared" si="4"/>
        <v>5.5533580016344786E-3</v>
      </c>
      <c r="J25">
        <f>+G25</f>
        <v>5.5533580016344786E-3</v>
      </c>
      <c r="O25">
        <f t="shared" ca="1" si="2"/>
        <v>6.0557954741780745E-3</v>
      </c>
      <c r="Q25" s="2">
        <f t="shared" si="3"/>
        <v>36787.831100000003</v>
      </c>
    </row>
    <row r="26" spans="1:17" x14ac:dyDescent="0.2">
      <c r="A26" s="31" t="s">
        <v>45</v>
      </c>
      <c r="B26" s="32" t="s">
        <v>40</v>
      </c>
      <c r="C26" s="31">
        <v>52127.486199999999</v>
      </c>
      <c r="D26" s="31" t="s">
        <v>46</v>
      </c>
      <c r="E26">
        <f t="shared" si="0"/>
        <v>41343.014123262285</v>
      </c>
      <c r="F26">
        <f t="shared" si="1"/>
        <v>41343</v>
      </c>
      <c r="G26">
        <f t="shared" si="4"/>
        <v>6.7798809977830388E-3</v>
      </c>
      <c r="K26">
        <f>+G26</f>
        <v>6.7798809977830388E-3</v>
      </c>
      <c r="O26">
        <f t="shared" ca="1" si="2"/>
        <v>7.0158508758899202E-3</v>
      </c>
      <c r="Q26" s="2">
        <f t="shared" si="3"/>
        <v>37108.986199999999</v>
      </c>
    </row>
    <row r="27" spans="1:17" x14ac:dyDescent="0.2">
      <c r="A27" s="58" t="s">
        <v>93</v>
      </c>
      <c r="B27" s="59" t="s">
        <v>42</v>
      </c>
      <c r="C27" s="60">
        <v>52483.441700000003</v>
      </c>
      <c r="D27" s="60" t="s">
        <v>63</v>
      </c>
      <c r="E27">
        <f t="shared" si="0"/>
        <v>42084.509864608393</v>
      </c>
      <c r="F27">
        <f t="shared" si="1"/>
        <v>42084.5</v>
      </c>
      <c r="G27">
        <f t="shared" si="4"/>
        <v>4.735511502076406E-3</v>
      </c>
      <c r="K27">
        <f>+G27</f>
        <v>4.735511502076406E-3</v>
      </c>
      <c r="O27">
        <f t="shared" ca="1" si="2"/>
        <v>8.0799481559636621E-3</v>
      </c>
      <c r="Q27" s="2">
        <f t="shared" si="3"/>
        <v>37464.941700000003</v>
      </c>
    </row>
    <row r="28" spans="1:17" x14ac:dyDescent="0.2">
      <c r="A28" s="35" t="s">
        <v>31</v>
      </c>
      <c r="B28" s="36" t="s">
        <v>30</v>
      </c>
      <c r="C28" s="37">
        <v>53340.578600000001</v>
      </c>
      <c r="D28" s="37">
        <v>2.0000000000000001E-4</v>
      </c>
      <c r="E28">
        <f t="shared" si="0"/>
        <v>43870.023393969779</v>
      </c>
      <c r="F28">
        <f t="shared" si="1"/>
        <v>43870</v>
      </c>
      <c r="G28">
        <f t="shared" si="4"/>
        <v>1.1230290001549292E-2</v>
      </c>
      <c r="K28">
        <f>+G28</f>
        <v>1.1230290001549292E-2</v>
      </c>
      <c r="O28">
        <f t="shared" ca="1" si="2"/>
        <v>1.0642248484448724E-2</v>
      </c>
      <c r="Q28" s="2">
        <f t="shared" si="3"/>
        <v>38322.078600000001</v>
      </c>
    </row>
    <row r="29" spans="1:17" x14ac:dyDescent="0.2">
      <c r="A29" s="24" t="s">
        <v>33</v>
      </c>
      <c r="B29" s="38"/>
      <c r="C29" s="39">
        <v>53578.445099999997</v>
      </c>
      <c r="D29" s="39">
        <v>2.2000000000000001E-3</v>
      </c>
      <c r="E29">
        <f t="shared" si="0"/>
        <v>44365.526333969021</v>
      </c>
      <c r="F29">
        <f t="shared" si="1"/>
        <v>44365.5</v>
      </c>
      <c r="G29">
        <f t="shared" si="4"/>
        <v>1.2641638495551888E-2</v>
      </c>
      <c r="J29">
        <f>+G29</f>
        <v>1.2641638495551888E-2</v>
      </c>
      <c r="O29">
        <f t="shared" ca="1" si="2"/>
        <v>1.1353320908287612E-2</v>
      </c>
      <c r="Q29" s="2">
        <f t="shared" si="3"/>
        <v>38559.945099999997</v>
      </c>
    </row>
    <row r="30" spans="1:17" x14ac:dyDescent="0.2">
      <c r="A30" s="24" t="s">
        <v>33</v>
      </c>
      <c r="B30" s="38"/>
      <c r="C30" s="39">
        <v>53620.449000000001</v>
      </c>
      <c r="D30" s="39">
        <v>1.5E-3</v>
      </c>
      <c r="E30">
        <f t="shared" si="0"/>
        <v>44453.025229111612</v>
      </c>
      <c r="F30">
        <f t="shared" si="1"/>
        <v>44453</v>
      </c>
      <c r="G30">
        <f t="shared" si="4"/>
        <v>1.2111251002352219E-2</v>
      </c>
      <c r="J30">
        <f>+G30</f>
        <v>1.2111251002352219E-2</v>
      </c>
      <c r="O30">
        <f t="shared" ca="1" si="2"/>
        <v>1.1478888692517494E-2</v>
      </c>
      <c r="Q30" s="2">
        <f t="shared" si="3"/>
        <v>38601.949000000001</v>
      </c>
    </row>
    <row r="31" spans="1:17" x14ac:dyDescent="0.2">
      <c r="A31" s="25" t="s">
        <v>41</v>
      </c>
      <c r="B31" s="38" t="s">
        <v>42</v>
      </c>
      <c r="C31" s="40">
        <v>53919.762600000016</v>
      </c>
      <c r="D31" s="40">
        <v>4.0000000000000002E-4</v>
      </c>
      <c r="E31">
        <f t="shared" si="0"/>
        <v>45076.529458508216</v>
      </c>
      <c r="F31">
        <f t="shared" si="1"/>
        <v>45076.5</v>
      </c>
      <c r="G31">
        <f t="shared" si="4"/>
        <v>1.4141575520625338E-2</v>
      </c>
      <c r="K31">
        <f>+G31</f>
        <v>1.4141575520625338E-2</v>
      </c>
      <c r="O31">
        <f t="shared" ca="1" si="2"/>
        <v>1.2373648846429802E-2</v>
      </c>
      <c r="Q31" s="2">
        <f t="shared" si="3"/>
        <v>38901.262600000016</v>
      </c>
    </row>
    <row r="32" spans="1:17" x14ac:dyDescent="0.2">
      <c r="A32" s="24" t="s">
        <v>39</v>
      </c>
      <c r="B32" s="38" t="s">
        <v>40</v>
      </c>
      <c r="C32" s="39">
        <v>53932.478999999999</v>
      </c>
      <c r="D32" s="39">
        <v>2.0999999999999999E-3</v>
      </c>
      <c r="E32">
        <f t="shared" si="0"/>
        <v>45103.019164230536</v>
      </c>
      <c r="F32">
        <f t="shared" si="1"/>
        <v>45103</v>
      </c>
      <c r="J32" s="26">
        <v>9.1998009957023896E-3</v>
      </c>
      <c r="O32">
        <f t="shared" ca="1" si="2"/>
        <v>1.2411677946796568E-2</v>
      </c>
      <c r="Q32" s="2">
        <f t="shared" si="3"/>
        <v>38913.978999999999</v>
      </c>
    </row>
    <row r="33" spans="1:17" x14ac:dyDescent="0.2">
      <c r="A33" s="39" t="s">
        <v>44</v>
      </c>
      <c r="B33" s="36" t="s">
        <v>40</v>
      </c>
      <c r="C33" s="39">
        <v>54631.4395</v>
      </c>
      <c r="D33" s="39">
        <v>1E-3</v>
      </c>
      <c r="E33">
        <f t="shared" si="0"/>
        <v>46559.033284307741</v>
      </c>
      <c r="F33">
        <f t="shared" si="1"/>
        <v>46559</v>
      </c>
      <c r="G33">
        <f t="shared" ref="G33:G38" si="5">+C33-(C$7+F33*C$8)</f>
        <v>1.5978153001924511E-2</v>
      </c>
      <c r="J33">
        <f>+G33</f>
        <v>1.5978153001924511E-2</v>
      </c>
      <c r="O33">
        <f t="shared" ca="1" si="2"/>
        <v>1.4501125876381693E-2</v>
      </c>
      <c r="Q33" s="2">
        <f t="shared" si="3"/>
        <v>39612.9395</v>
      </c>
    </row>
    <row r="34" spans="1:17" x14ac:dyDescent="0.2">
      <c r="A34" s="43" t="s">
        <v>52</v>
      </c>
      <c r="B34" s="43"/>
      <c r="C34" s="42">
        <v>55393.518499999998</v>
      </c>
      <c r="D34" s="42">
        <v>5.7000000000000002E-3</v>
      </c>
      <c r="E34">
        <f t="shared" si="0"/>
        <v>48146.530409845327</v>
      </c>
      <c r="F34">
        <f t="shared" si="1"/>
        <v>48146.5</v>
      </c>
      <c r="G34">
        <f t="shared" si="5"/>
        <v>1.4598265501263086E-2</v>
      </c>
      <c r="J34">
        <f>+G34</f>
        <v>1.4598265501263086E-2</v>
      </c>
      <c r="O34">
        <f t="shared" ca="1" si="2"/>
        <v>1.6779284247409432E-2</v>
      </c>
      <c r="Q34" s="2">
        <f t="shared" si="3"/>
        <v>40375.018499999998</v>
      </c>
    </row>
    <row r="35" spans="1:17" x14ac:dyDescent="0.2">
      <c r="A35" s="25" t="s">
        <v>49</v>
      </c>
      <c r="B35" s="38" t="s">
        <v>50</v>
      </c>
      <c r="C35" s="40">
        <v>56455.3963</v>
      </c>
      <c r="D35" s="40">
        <v>5.9999999999999995E-4</v>
      </c>
      <c r="E35">
        <f t="shared" si="0"/>
        <v>50358.542491495893</v>
      </c>
      <c r="F35">
        <f t="shared" si="1"/>
        <v>50358.5</v>
      </c>
      <c r="G35">
        <f t="shared" si="5"/>
        <v>2.0398069500515703E-2</v>
      </c>
      <c r="K35">
        <f>+G35</f>
        <v>2.0398069500515703E-2</v>
      </c>
      <c r="O35">
        <f t="shared" ca="1" si="2"/>
        <v>1.9953637832740678E-2</v>
      </c>
      <c r="Q35" s="2">
        <f t="shared" si="3"/>
        <v>41436.8963</v>
      </c>
    </row>
    <row r="36" spans="1:17" x14ac:dyDescent="0.2">
      <c r="A36" s="25" t="s">
        <v>51</v>
      </c>
      <c r="B36" s="38" t="s">
        <v>40</v>
      </c>
      <c r="C36" s="39">
        <v>56494.520499999999</v>
      </c>
      <c r="D36" s="40">
        <v>3.5999999999999999E-3</v>
      </c>
      <c r="E36">
        <f t="shared" si="0"/>
        <v>50440.042644418296</v>
      </c>
      <c r="F36">
        <f t="shared" si="1"/>
        <v>50440</v>
      </c>
      <c r="G36">
        <f t="shared" si="5"/>
        <v>2.0471479998377617E-2</v>
      </c>
      <c r="J36">
        <f>+G36</f>
        <v>2.0471479998377617E-2</v>
      </c>
      <c r="O36">
        <f t="shared" ca="1" si="2"/>
        <v>2.0070595254623361E-2</v>
      </c>
      <c r="Q36" s="2">
        <f t="shared" si="3"/>
        <v>41476.020499999999</v>
      </c>
    </row>
    <row r="37" spans="1:17" x14ac:dyDescent="0.2">
      <c r="A37" s="41" t="s">
        <v>53</v>
      </c>
      <c r="B37" s="44"/>
      <c r="C37" s="41">
        <v>56930.408000000003</v>
      </c>
      <c r="D37" s="41">
        <v>1.4E-3</v>
      </c>
      <c r="E37">
        <f t="shared" si="0"/>
        <v>51348.045821658154</v>
      </c>
      <c r="F37">
        <f t="shared" si="1"/>
        <v>51348</v>
      </c>
      <c r="G37">
        <f t="shared" si="5"/>
        <v>2.1996716001012828E-2</v>
      </c>
      <c r="J37">
        <f>+G37</f>
        <v>2.1996716001012828E-2</v>
      </c>
      <c r="O37">
        <f t="shared" ca="1" si="2"/>
        <v>2.1373630089831674E-2</v>
      </c>
      <c r="Q37" s="2">
        <f t="shared" si="3"/>
        <v>41911.908000000003</v>
      </c>
    </row>
    <row r="38" spans="1:17" x14ac:dyDescent="0.2">
      <c r="A38" s="61" t="s">
        <v>146</v>
      </c>
      <c r="B38" s="62" t="s">
        <v>40</v>
      </c>
      <c r="C38" s="63">
        <v>57916.43282000022</v>
      </c>
      <c r="D38" s="63">
        <v>2.9999999999999997E-4</v>
      </c>
      <c r="E38">
        <f>+(C38-C$7)/C$8</f>
        <v>53402.047529432632</v>
      </c>
      <c r="F38">
        <f t="shared" si="1"/>
        <v>53402</v>
      </c>
      <c r="G38">
        <f t="shared" si="5"/>
        <v>2.2816534219600726E-2</v>
      </c>
      <c r="K38">
        <f>+G38</f>
        <v>2.2816534219600726E-2</v>
      </c>
      <c r="O38">
        <f ca="1">+C$11+C$12*$F38</f>
        <v>2.4321244133353542E-2</v>
      </c>
      <c r="Q38" s="2">
        <f>+C38-15018.5</f>
        <v>42897.93282000022</v>
      </c>
    </row>
    <row r="39" spans="1:17" x14ac:dyDescent="0.2">
      <c r="C39" s="12"/>
      <c r="D39" s="12"/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</sheetData>
  <protectedRanges>
    <protectedRange sqref="A38:D3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4" workbookViewId="0">
      <selection activeCell="A24" sqref="A24:D26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5" t="s">
        <v>54</v>
      </c>
      <c r="I1" s="46" t="s">
        <v>55</v>
      </c>
      <c r="J1" s="47" t="s">
        <v>46</v>
      </c>
    </row>
    <row r="2" spans="1:16" x14ac:dyDescent="0.2">
      <c r="I2" s="48" t="s">
        <v>56</v>
      </c>
      <c r="J2" s="49" t="s">
        <v>57</v>
      </c>
    </row>
    <row r="3" spans="1:16" x14ac:dyDescent="0.2">
      <c r="A3" s="50" t="s">
        <v>58</v>
      </c>
      <c r="I3" s="48" t="s">
        <v>59</v>
      </c>
      <c r="J3" s="49" t="s">
        <v>60</v>
      </c>
    </row>
    <row r="4" spans="1:16" x14ac:dyDescent="0.2">
      <c r="I4" s="48" t="s">
        <v>61</v>
      </c>
      <c r="J4" s="49" t="s">
        <v>60</v>
      </c>
    </row>
    <row r="5" spans="1:16" ht="13.5" thickBot="1" x14ac:dyDescent="0.25">
      <c r="I5" s="51" t="s">
        <v>62</v>
      </c>
      <c r="J5" s="52" t="s">
        <v>63</v>
      </c>
    </row>
    <row r="10" spans="1:16" ht="13.5" thickBot="1" x14ac:dyDescent="0.25"/>
    <row r="11" spans="1:16" ht="12.75" customHeight="1" thickBot="1" x14ac:dyDescent="0.25">
      <c r="A11" s="12" t="str">
        <f t="shared" ref="A11:A26" si="0">P11</f>
        <v>OEJV 0074 </v>
      </c>
      <c r="B11" s="5" t="str">
        <f t="shared" ref="B11:B26" si="1">IF(H11=INT(H11),"I","II")</f>
        <v>I</v>
      </c>
      <c r="C11" s="12">
        <f t="shared" ref="C11:C26" si="2">1*G11</f>
        <v>51707.442730000002</v>
      </c>
      <c r="D11" s="10" t="str">
        <f t="shared" ref="D11:D26" si="3">VLOOKUP(F11,I$1:J$5,2,FALSE)</f>
        <v>vis</v>
      </c>
      <c r="E11" s="53">
        <f>VLOOKUP(C11,Active!C$21:E$972,3,FALSE)</f>
        <v>40468.015860318636</v>
      </c>
      <c r="F11" s="5" t="s">
        <v>62</v>
      </c>
      <c r="G11" s="10" t="str">
        <f t="shared" ref="G11:G26" si="4">MID(I11,3,LEN(I11)-3)</f>
        <v>51707.44273</v>
      </c>
      <c r="H11" s="12">
        <f t="shared" ref="H11:H26" si="5">1*K11</f>
        <v>40468</v>
      </c>
      <c r="I11" s="54" t="s">
        <v>64</v>
      </c>
      <c r="J11" s="55" t="s">
        <v>65</v>
      </c>
      <c r="K11" s="54">
        <v>40468</v>
      </c>
      <c r="L11" s="54" t="s">
        <v>66</v>
      </c>
      <c r="M11" s="55" t="s">
        <v>67</v>
      </c>
      <c r="N11" s="55" t="s">
        <v>68</v>
      </c>
      <c r="O11" s="56" t="s">
        <v>69</v>
      </c>
      <c r="P11" s="57" t="s">
        <v>70</v>
      </c>
    </row>
    <row r="12" spans="1:16" ht="12.75" customHeight="1" thickBot="1" x14ac:dyDescent="0.25">
      <c r="A12" s="12" t="str">
        <f t="shared" si="0"/>
        <v>OEJV 0074 </v>
      </c>
      <c r="B12" s="5" t="str">
        <f t="shared" si="1"/>
        <v>I</v>
      </c>
      <c r="C12" s="12">
        <f t="shared" si="2"/>
        <v>51731.445699999997</v>
      </c>
      <c r="D12" s="10" t="str">
        <f t="shared" si="3"/>
        <v>vis</v>
      </c>
      <c r="E12" s="53">
        <f>VLOOKUP(C12,Active!C$21:E$972,3,FALSE)</f>
        <v>40518.016773451469</v>
      </c>
      <c r="F12" s="5" t="s">
        <v>62</v>
      </c>
      <c r="G12" s="10" t="str">
        <f t="shared" si="4"/>
        <v>51731.44570</v>
      </c>
      <c r="H12" s="12">
        <f t="shared" si="5"/>
        <v>40518</v>
      </c>
      <c r="I12" s="54" t="s">
        <v>77</v>
      </c>
      <c r="J12" s="55" t="s">
        <v>78</v>
      </c>
      <c r="K12" s="54">
        <v>40518</v>
      </c>
      <c r="L12" s="54" t="s">
        <v>79</v>
      </c>
      <c r="M12" s="55" t="s">
        <v>67</v>
      </c>
      <c r="N12" s="55" t="s">
        <v>68</v>
      </c>
      <c r="O12" s="56" t="s">
        <v>80</v>
      </c>
      <c r="P12" s="57" t="s">
        <v>70</v>
      </c>
    </row>
    <row r="13" spans="1:16" ht="12.75" customHeight="1" thickBot="1" x14ac:dyDescent="0.25">
      <c r="A13" s="12" t="str">
        <f t="shared" si="0"/>
        <v>BAVM 152 </v>
      </c>
      <c r="B13" s="5" t="str">
        <f t="shared" si="1"/>
        <v>I</v>
      </c>
      <c r="C13" s="12">
        <f t="shared" si="2"/>
        <v>51806.331100000003</v>
      </c>
      <c r="D13" s="10" t="str">
        <f t="shared" si="3"/>
        <v>vis</v>
      </c>
      <c r="E13" s="53">
        <f>VLOOKUP(C13,Active!C$21:E$972,3,FALSE)</f>
        <v>40674.011568275557</v>
      </c>
      <c r="F13" s="5" t="s">
        <v>62</v>
      </c>
      <c r="G13" s="10" t="str">
        <f t="shared" si="4"/>
        <v>51806.3311</v>
      </c>
      <c r="H13" s="12">
        <f t="shared" si="5"/>
        <v>40674</v>
      </c>
      <c r="I13" s="54" t="s">
        <v>81</v>
      </c>
      <c r="J13" s="55" t="s">
        <v>82</v>
      </c>
      <c r="K13" s="54">
        <v>40674</v>
      </c>
      <c r="L13" s="54" t="s">
        <v>83</v>
      </c>
      <c r="M13" s="55" t="s">
        <v>74</v>
      </c>
      <c r="N13" s="55" t="s">
        <v>68</v>
      </c>
      <c r="O13" s="56" t="s">
        <v>84</v>
      </c>
      <c r="P13" s="57" t="s">
        <v>85</v>
      </c>
    </row>
    <row r="14" spans="1:16" ht="12.75" customHeight="1" thickBot="1" x14ac:dyDescent="0.25">
      <c r="A14" s="12" t="str">
        <f t="shared" si="0"/>
        <v>OEJV 0074 </v>
      </c>
      <c r="B14" s="5" t="str">
        <f t="shared" si="1"/>
        <v>I</v>
      </c>
      <c r="C14" s="12">
        <f t="shared" si="2"/>
        <v>52127.486199999999</v>
      </c>
      <c r="D14" s="10" t="str">
        <f t="shared" si="3"/>
        <v>vis</v>
      </c>
      <c r="E14" s="53">
        <f>VLOOKUP(C14,Active!C$21:E$972,3,FALSE)</f>
        <v>41343.014123262285</v>
      </c>
      <c r="F14" s="5" t="s">
        <v>62</v>
      </c>
      <c r="G14" s="10" t="str">
        <f t="shared" si="4"/>
        <v>52127.48620</v>
      </c>
      <c r="H14" s="12">
        <f t="shared" si="5"/>
        <v>41343</v>
      </c>
      <c r="I14" s="54" t="s">
        <v>86</v>
      </c>
      <c r="J14" s="55" t="s">
        <v>87</v>
      </c>
      <c r="K14" s="54">
        <v>41343</v>
      </c>
      <c r="L14" s="54" t="s">
        <v>88</v>
      </c>
      <c r="M14" s="55" t="s">
        <v>67</v>
      </c>
      <c r="N14" s="55" t="s">
        <v>68</v>
      </c>
      <c r="O14" s="56" t="s">
        <v>89</v>
      </c>
      <c r="P14" s="57" t="s">
        <v>70</v>
      </c>
    </row>
    <row r="15" spans="1:16" ht="12.75" customHeight="1" thickBot="1" x14ac:dyDescent="0.25">
      <c r="A15" s="12" t="str">
        <f t="shared" si="0"/>
        <v>IBVS 5690 </v>
      </c>
      <c r="B15" s="5" t="str">
        <f t="shared" si="1"/>
        <v>I</v>
      </c>
      <c r="C15" s="12">
        <f t="shared" si="2"/>
        <v>53340.578600000001</v>
      </c>
      <c r="D15" s="10" t="str">
        <f t="shared" si="3"/>
        <v>vis</v>
      </c>
      <c r="E15" s="53">
        <f>VLOOKUP(C15,Active!C$21:E$972,3,FALSE)</f>
        <v>43870.023393969779</v>
      </c>
      <c r="F15" s="5" t="s">
        <v>62</v>
      </c>
      <c r="G15" s="10" t="str">
        <f t="shared" si="4"/>
        <v>53340.5786</v>
      </c>
      <c r="H15" s="12">
        <f t="shared" si="5"/>
        <v>43870</v>
      </c>
      <c r="I15" s="54" t="s">
        <v>94</v>
      </c>
      <c r="J15" s="55" t="s">
        <v>95</v>
      </c>
      <c r="K15" s="54">
        <v>43870</v>
      </c>
      <c r="L15" s="54" t="s">
        <v>96</v>
      </c>
      <c r="M15" s="55" t="s">
        <v>74</v>
      </c>
      <c r="N15" s="55" t="s">
        <v>30</v>
      </c>
      <c r="O15" s="56" t="s">
        <v>97</v>
      </c>
      <c r="P15" s="57" t="s">
        <v>98</v>
      </c>
    </row>
    <row r="16" spans="1:16" ht="12.75" customHeight="1" thickBot="1" x14ac:dyDescent="0.25">
      <c r="A16" s="12" t="str">
        <f t="shared" si="0"/>
        <v>BAVM 178 </v>
      </c>
      <c r="B16" s="5" t="str">
        <f t="shared" si="1"/>
        <v>II</v>
      </c>
      <c r="C16" s="12">
        <f t="shared" si="2"/>
        <v>53578.445099999997</v>
      </c>
      <c r="D16" s="10" t="str">
        <f t="shared" si="3"/>
        <v>vis</v>
      </c>
      <c r="E16" s="53">
        <f>VLOOKUP(C16,Active!C$21:E$972,3,FALSE)</f>
        <v>44365.526333969021</v>
      </c>
      <c r="F16" s="5" t="s">
        <v>62</v>
      </c>
      <c r="G16" s="10" t="str">
        <f t="shared" si="4"/>
        <v>53578.4451</v>
      </c>
      <c r="H16" s="12">
        <f t="shared" si="5"/>
        <v>44365.5</v>
      </c>
      <c r="I16" s="54" t="s">
        <v>99</v>
      </c>
      <c r="J16" s="55" t="s">
        <v>100</v>
      </c>
      <c r="K16" s="54">
        <v>44365.5</v>
      </c>
      <c r="L16" s="54" t="s">
        <v>101</v>
      </c>
      <c r="M16" s="55" t="s">
        <v>67</v>
      </c>
      <c r="N16" s="55" t="s">
        <v>102</v>
      </c>
      <c r="O16" s="56" t="s">
        <v>103</v>
      </c>
      <c r="P16" s="57" t="s">
        <v>104</v>
      </c>
    </row>
    <row r="17" spans="1:16" ht="12.75" customHeight="1" thickBot="1" x14ac:dyDescent="0.25">
      <c r="A17" s="12" t="str">
        <f t="shared" si="0"/>
        <v>BAVM 178 </v>
      </c>
      <c r="B17" s="5" t="str">
        <f t="shared" si="1"/>
        <v>I</v>
      </c>
      <c r="C17" s="12">
        <f t="shared" si="2"/>
        <v>53620.449000000001</v>
      </c>
      <c r="D17" s="10" t="str">
        <f t="shared" si="3"/>
        <v>vis</v>
      </c>
      <c r="E17" s="53">
        <f>VLOOKUP(C17,Active!C$21:E$972,3,FALSE)</f>
        <v>44453.025229111612</v>
      </c>
      <c r="F17" s="5" t="s">
        <v>62</v>
      </c>
      <c r="G17" s="10" t="str">
        <f t="shared" si="4"/>
        <v>53620.4490</v>
      </c>
      <c r="H17" s="12">
        <f t="shared" si="5"/>
        <v>44453</v>
      </c>
      <c r="I17" s="54" t="s">
        <v>105</v>
      </c>
      <c r="J17" s="55" t="s">
        <v>106</v>
      </c>
      <c r="K17" s="54" t="s">
        <v>107</v>
      </c>
      <c r="L17" s="54" t="s">
        <v>108</v>
      </c>
      <c r="M17" s="55" t="s">
        <v>67</v>
      </c>
      <c r="N17" s="55" t="s">
        <v>102</v>
      </c>
      <c r="O17" s="56" t="s">
        <v>103</v>
      </c>
      <c r="P17" s="57" t="s">
        <v>104</v>
      </c>
    </row>
    <row r="18" spans="1:16" ht="12.75" customHeight="1" thickBot="1" x14ac:dyDescent="0.25">
      <c r="A18" s="12" t="str">
        <f t="shared" si="0"/>
        <v>BAVM 183 </v>
      </c>
      <c r="B18" s="5" t="str">
        <f t="shared" si="1"/>
        <v>I</v>
      </c>
      <c r="C18" s="12">
        <f t="shared" si="2"/>
        <v>53932.478999999999</v>
      </c>
      <c r="D18" s="10" t="str">
        <f t="shared" si="3"/>
        <v>vis</v>
      </c>
      <c r="E18" s="53">
        <f>VLOOKUP(C18,Active!C$21:E$972,3,FALSE)</f>
        <v>45103.019164230536</v>
      </c>
      <c r="F18" s="5" t="s">
        <v>62</v>
      </c>
      <c r="G18" s="10" t="str">
        <f t="shared" si="4"/>
        <v>53932.4790</v>
      </c>
      <c r="H18" s="12">
        <f t="shared" si="5"/>
        <v>45103</v>
      </c>
      <c r="I18" s="54" t="s">
        <v>114</v>
      </c>
      <c r="J18" s="55" t="s">
        <v>115</v>
      </c>
      <c r="K18" s="54" t="s">
        <v>116</v>
      </c>
      <c r="L18" s="54" t="s">
        <v>117</v>
      </c>
      <c r="M18" s="55" t="s">
        <v>67</v>
      </c>
      <c r="N18" s="55" t="s">
        <v>102</v>
      </c>
      <c r="O18" s="56" t="s">
        <v>118</v>
      </c>
      <c r="P18" s="57" t="s">
        <v>119</v>
      </c>
    </row>
    <row r="19" spans="1:16" ht="12.75" customHeight="1" thickBot="1" x14ac:dyDescent="0.25">
      <c r="A19" s="12" t="str">
        <f t="shared" si="0"/>
        <v>BAVM 201 </v>
      </c>
      <c r="B19" s="5" t="str">
        <f t="shared" si="1"/>
        <v>I</v>
      </c>
      <c r="C19" s="12">
        <f t="shared" si="2"/>
        <v>54631.4395</v>
      </c>
      <c r="D19" s="10" t="str">
        <f t="shared" si="3"/>
        <v>vis</v>
      </c>
      <c r="E19" s="53">
        <f>VLOOKUP(C19,Active!C$21:E$972,3,FALSE)</f>
        <v>46559.033284307741</v>
      </c>
      <c r="F19" s="5" t="s">
        <v>62</v>
      </c>
      <c r="G19" s="10" t="str">
        <f t="shared" si="4"/>
        <v>54631.4395</v>
      </c>
      <c r="H19" s="12">
        <f t="shared" si="5"/>
        <v>46559</v>
      </c>
      <c r="I19" s="54" t="s">
        <v>120</v>
      </c>
      <c r="J19" s="55" t="s">
        <v>121</v>
      </c>
      <c r="K19" s="54" t="s">
        <v>122</v>
      </c>
      <c r="L19" s="54" t="s">
        <v>123</v>
      </c>
      <c r="M19" s="55" t="s">
        <v>67</v>
      </c>
      <c r="N19" s="55" t="s">
        <v>102</v>
      </c>
      <c r="O19" s="56" t="s">
        <v>103</v>
      </c>
      <c r="P19" s="57" t="s">
        <v>124</v>
      </c>
    </row>
    <row r="20" spans="1:16" ht="12.75" customHeight="1" thickBot="1" x14ac:dyDescent="0.25">
      <c r="A20" s="12" t="str">
        <f t="shared" si="0"/>
        <v>BAVM 215 </v>
      </c>
      <c r="B20" s="5" t="str">
        <f t="shared" si="1"/>
        <v>II</v>
      </c>
      <c r="C20" s="12">
        <f t="shared" si="2"/>
        <v>55393.518499999998</v>
      </c>
      <c r="D20" s="10" t="str">
        <f t="shared" si="3"/>
        <v>vis</v>
      </c>
      <c r="E20" s="53">
        <f>VLOOKUP(C20,Active!C$21:E$972,3,FALSE)</f>
        <v>48146.530409845327</v>
      </c>
      <c r="F20" s="5" t="s">
        <v>62</v>
      </c>
      <c r="G20" s="10" t="str">
        <f t="shared" si="4"/>
        <v>55393.5185</v>
      </c>
      <c r="H20" s="12">
        <f t="shared" si="5"/>
        <v>48146.5</v>
      </c>
      <c r="I20" s="54" t="s">
        <v>125</v>
      </c>
      <c r="J20" s="55" t="s">
        <v>126</v>
      </c>
      <c r="K20" s="54" t="s">
        <v>127</v>
      </c>
      <c r="L20" s="54" t="s">
        <v>128</v>
      </c>
      <c r="M20" s="55" t="s">
        <v>67</v>
      </c>
      <c r="N20" s="55" t="s">
        <v>102</v>
      </c>
      <c r="O20" s="56" t="s">
        <v>103</v>
      </c>
      <c r="P20" s="57" t="s">
        <v>129</v>
      </c>
    </row>
    <row r="21" spans="1:16" ht="12.75" customHeight="1" thickBot="1" x14ac:dyDescent="0.25">
      <c r="A21" s="12" t="str">
        <f t="shared" si="0"/>
        <v>IBVS 6094 </v>
      </c>
      <c r="B21" s="5" t="str">
        <f t="shared" si="1"/>
        <v>II</v>
      </c>
      <c r="C21" s="12">
        <f t="shared" si="2"/>
        <v>56455.3963</v>
      </c>
      <c r="D21" s="10" t="str">
        <f t="shared" si="3"/>
        <v>vis</v>
      </c>
      <c r="E21" s="53">
        <f>VLOOKUP(C21,Active!C$21:E$972,3,FALSE)</f>
        <v>50358.542491495893</v>
      </c>
      <c r="F21" s="5" t="s">
        <v>62</v>
      </c>
      <c r="G21" s="10" t="str">
        <f t="shared" si="4"/>
        <v>56455.3963</v>
      </c>
      <c r="H21" s="12">
        <f t="shared" si="5"/>
        <v>50358.5</v>
      </c>
      <c r="I21" s="54" t="s">
        <v>130</v>
      </c>
      <c r="J21" s="55" t="s">
        <v>131</v>
      </c>
      <c r="K21" s="54" t="s">
        <v>132</v>
      </c>
      <c r="L21" s="54" t="s">
        <v>133</v>
      </c>
      <c r="M21" s="55" t="s">
        <v>67</v>
      </c>
      <c r="N21" s="55" t="s">
        <v>55</v>
      </c>
      <c r="O21" s="56" t="s">
        <v>134</v>
      </c>
      <c r="P21" s="57" t="s">
        <v>135</v>
      </c>
    </row>
    <row r="22" spans="1:16" ht="12.75" customHeight="1" thickBot="1" x14ac:dyDescent="0.25">
      <c r="A22" s="12" t="str">
        <f t="shared" si="0"/>
        <v>BAVM 234 </v>
      </c>
      <c r="B22" s="5" t="str">
        <f t="shared" si="1"/>
        <v>I</v>
      </c>
      <c r="C22" s="12">
        <f t="shared" si="2"/>
        <v>56494.520499999999</v>
      </c>
      <c r="D22" s="10" t="str">
        <f t="shared" si="3"/>
        <v>vis</v>
      </c>
      <c r="E22" s="53">
        <f>VLOOKUP(C22,Active!C$21:E$972,3,FALSE)</f>
        <v>50440.042644418296</v>
      </c>
      <c r="F22" s="5" t="s">
        <v>62</v>
      </c>
      <c r="G22" s="10" t="str">
        <f t="shared" si="4"/>
        <v>56494.5205</v>
      </c>
      <c r="H22" s="12">
        <f t="shared" si="5"/>
        <v>50440</v>
      </c>
      <c r="I22" s="54" t="s">
        <v>136</v>
      </c>
      <c r="J22" s="55" t="s">
        <v>137</v>
      </c>
      <c r="K22" s="54" t="s">
        <v>138</v>
      </c>
      <c r="L22" s="54" t="s">
        <v>139</v>
      </c>
      <c r="M22" s="55" t="s">
        <v>67</v>
      </c>
      <c r="N22" s="55" t="s">
        <v>102</v>
      </c>
      <c r="O22" s="56" t="s">
        <v>103</v>
      </c>
      <c r="P22" s="57" t="s">
        <v>140</v>
      </c>
    </row>
    <row r="23" spans="1:16" ht="12.75" customHeight="1" thickBot="1" x14ac:dyDescent="0.25">
      <c r="A23" s="12" t="str">
        <f t="shared" si="0"/>
        <v>BAVM 239 </v>
      </c>
      <c r="B23" s="5" t="str">
        <f t="shared" si="1"/>
        <v>I</v>
      </c>
      <c r="C23" s="12">
        <f t="shared" si="2"/>
        <v>56930.408000000003</v>
      </c>
      <c r="D23" s="10" t="str">
        <f t="shared" si="3"/>
        <v>vis</v>
      </c>
      <c r="E23" s="53">
        <f>VLOOKUP(C23,Active!C$21:E$972,3,FALSE)</f>
        <v>51348.045821658154</v>
      </c>
      <c r="F23" s="5" t="s">
        <v>62</v>
      </c>
      <c r="G23" s="10" t="str">
        <f t="shared" si="4"/>
        <v>56930.4080</v>
      </c>
      <c r="H23" s="12">
        <f t="shared" si="5"/>
        <v>51348</v>
      </c>
      <c r="I23" s="54" t="s">
        <v>141</v>
      </c>
      <c r="J23" s="55" t="s">
        <v>142</v>
      </c>
      <c r="K23" s="54" t="s">
        <v>143</v>
      </c>
      <c r="L23" s="54" t="s">
        <v>144</v>
      </c>
      <c r="M23" s="55" t="s">
        <v>67</v>
      </c>
      <c r="N23" s="55" t="s">
        <v>102</v>
      </c>
      <c r="O23" s="56" t="s">
        <v>103</v>
      </c>
      <c r="P23" s="57" t="s">
        <v>145</v>
      </c>
    </row>
    <row r="24" spans="1:16" ht="12.75" customHeight="1" thickBot="1" x14ac:dyDescent="0.25">
      <c r="A24" s="12" t="str">
        <f t="shared" si="0"/>
        <v> BBS 123 </v>
      </c>
      <c r="B24" s="5" t="str">
        <f t="shared" si="1"/>
        <v>II</v>
      </c>
      <c r="C24" s="12">
        <f t="shared" si="2"/>
        <v>51713.438000000002</v>
      </c>
      <c r="D24" s="10" t="str">
        <f t="shared" si="3"/>
        <v>vis</v>
      </c>
      <c r="E24" s="53">
        <f>VLOOKUP(C24,Active!C$21:E$972,3,FALSE)</f>
        <v>40480.504688762696</v>
      </c>
      <c r="F24" s="5" t="s">
        <v>62</v>
      </c>
      <c r="G24" s="10" t="str">
        <f t="shared" si="4"/>
        <v>51713.438</v>
      </c>
      <c r="H24" s="12">
        <f t="shared" si="5"/>
        <v>40480.5</v>
      </c>
      <c r="I24" s="54" t="s">
        <v>71</v>
      </c>
      <c r="J24" s="55" t="s">
        <v>72</v>
      </c>
      <c r="K24" s="54">
        <v>40480.5</v>
      </c>
      <c r="L24" s="54" t="s">
        <v>73</v>
      </c>
      <c r="M24" s="55" t="s">
        <v>74</v>
      </c>
      <c r="N24" s="55" t="s">
        <v>30</v>
      </c>
      <c r="O24" s="56" t="s">
        <v>75</v>
      </c>
      <c r="P24" s="56" t="s">
        <v>76</v>
      </c>
    </row>
    <row r="25" spans="1:16" ht="12.75" customHeight="1" thickBot="1" x14ac:dyDescent="0.25">
      <c r="A25" s="12" t="str">
        <f t="shared" si="0"/>
        <v> BBS 128 </v>
      </c>
      <c r="B25" s="5" t="str">
        <f t="shared" si="1"/>
        <v>II</v>
      </c>
      <c r="C25" s="12">
        <f t="shared" si="2"/>
        <v>52483.441700000003</v>
      </c>
      <c r="D25" s="10" t="str">
        <f t="shared" si="3"/>
        <v>vis</v>
      </c>
      <c r="E25" s="53">
        <f>VLOOKUP(C25,Active!C$21:E$972,3,FALSE)</f>
        <v>42084.509864608393</v>
      </c>
      <c r="F25" s="5" t="s">
        <v>62</v>
      </c>
      <c r="G25" s="10" t="str">
        <f t="shared" si="4"/>
        <v>52483.4417</v>
      </c>
      <c r="H25" s="12">
        <f t="shared" si="5"/>
        <v>42084.5</v>
      </c>
      <c r="I25" s="54" t="s">
        <v>90</v>
      </c>
      <c r="J25" s="55" t="s">
        <v>91</v>
      </c>
      <c r="K25" s="54">
        <v>42084.5</v>
      </c>
      <c r="L25" s="54" t="s">
        <v>92</v>
      </c>
      <c r="M25" s="55" t="s">
        <v>74</v>
      </c>
      <c r="N25" s="55" t="s">
        <v>30</v>
      </c>
      <c r="O25" s="56" t="s">
        <v>75</v>
      </c>
      <c r="P25" s="56" t="s">
        <v>93</v>
      </c>
    </row>
    <row r="26" spans="1:16" ht="12.75" customHeight="1" thickBot="1" x14ac:dyDescent="0.25">
      <c r="A26" s="12" t="str">
        <f t="shared" si="0"/>
        <v>IBVS 5806 </v>
      </c>
      <c r="B26" s="5" t="str">
        <f t="shared" si="1"/>
        <v>II</v>
      </c>
      <c r="C26" s="12">
        <f t="shared" si="2"/>
        <v>53919.762600000002</v>
      </c>
      <c r="D26" s="10" t="str">
        <f t="shared" si="3"/>
        <v>vis</v>
      </c>
      <c r="E26" s="53" t="e">
        <f>VLOOKUP(C26,Active!C$21:E$972,3,FALSE)</f>
        <v>#N/A</v>
      </c>
      <c r="F26" s="5" t="s">
        <v>62</v>
      </c>
      <c r="G26" s="10" t="str">
        <f t="shared" si="4"/>
        <v>53919.7626</v>
      </c>
      <c r="H26" s="12">
        <f t="shared" si="5"/>
        <v>45076.5</v>
      </c>
      <c r="I26" s="54" t="s">
        <v>109</v>
      </c>
      <c r="J26" s="55" t="s">
        <v>110</v>
      </c>
      <c r="K26" s="54" t="s">
        <v>111</v>
      </c>
      <c r="L26" s="54" t="s">
        <v>112</v>
      </c>
      <c r="M26" s="55" t="s">
        <v>67</v>
      </c>
      <c r="N26" s="55" t="s">
        <v>68</v>
      </c>
      <c r="O26" s="56" t="s">
        <v>97</v>
      </c>
      <c r="P26" s="57" t="s">
        <v>113</v>
      </c>
    </row>
    <row r="27" spans="1:16" x14ac:dyDescent="0.2">
      <c r="B27" s="5"/>
      <c r="E27" s="53"/>
      <c r="F27" s="5"/>
    </row>
    <row r="28" spans="1:16" x14ac:dyDescent="0.2">
      <c r="B28" s="5"/>
      <c r="E28" s="53"/>
      <c r="F28" s="5"/>
    </row>
    <row r="29" spans="1:16" x14ac:dyDescent="0.2">
      <c r="B29" s="5"/>
      <c r="E29" s="53"/>
      <c r="F29" s="5"/>
    </row>
    <row r="30" spans="1:16" x14ac:dyDescent="0.2">
      <c r="B30" s="5"/>
      <c r="E30" s="53"/>
      <c r="F30" s="5"/>
    </row>
    <row r="31" spans="1:16" x14ac:dyDescent="0.2">
      <c r="B31" s="5"/>
      <c r="E31" s="53"/>
      <c r="F31" s="5"/>
    </row>
    <row r="32" spans="1:16" x14ac:dyDescent="0.2">
      <c r="B32" s="5"/>
      <c r="E32" s="53"/>
      <c r="F32" s="5"/>
    </row>
    <row r="33" spans="2:6" x14ac:dyDescent="0.2">
      <c r="B33" s="5"/>
      <c r="E33" s="53"/>
      <c r="F33" s="5"/>
    </row>
    <row r="34" spans="2:6" x14ac:dyDescent="0.2">
      <c r="B34" s="5"/>
      <c r="E34" s="53"/>
      <c r="F34" s="5"/>
    </row>
    <row r="35" spans="2:6" x14ac:dyDescent="0.2">
      <c r="B35" s="5"/>
      <c r="E35" s="53"/>
      <c r="F35" s="5"/>
    </row>
    <row r="36" spans="2:6" x14ac:dyDescent="0.2">
      <c r="B36" s="5"/>
      <c r="E36" s="53"/>
      <c r="F36" s="5"/>
    </row>
    <row r="37" spans="2:6" x14ac:dyDescent="0.2">
      <c r="B37" s="5"/>
      <c r="E37" s="53"/>
      <c r="F37" s="5"/>
    </row>
    <row r="38" spans="2:6" x14ac:dyDescent="0.2">
      <c r="B38" s="5"/>
      <c r="E38" s="53"/>
      <c r="F38" s="5"/>
    </row>
    <row r="39" spans="2:6" x14ac:dyDescent="0.2">
      <c r="B39" s="5"/>
      <c r="E39" s="53"/>
      <c r="F39" s="5"/>
    </row>
    <row r="40" spans="2:6" x14ac:dyDescent="0.2">
      <c r="B40" s="5"/>
      <c r="E40" s="53"/>
      <c r="F40" s="5"/>
    </row>
    <row r="41" spans="2:6" x14ac:dyDescent="0.2">
      <c r="B41" s="5"/>
      <c r="E41" s="53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</sheetData>
  <phoneticPr fontId="7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www.bav-astro.de/sfs/BAVM_link.php?BAVMnr=152"/>
    <hyperlink ref="P14" r:id="rId4" display="http://var.astro.cz/oejv/issues/oejv0074.pdf"/>
    <hyperlink ref="P15" r:id="rId5" display="http://www.konkoly.hu/cgi-bin/IBVS?5690"/>
    <hyperlink ref="P16" r:id="rId6" display="http://www.bav-astro.de/sfs/BAVM_link.php?BAVMnr=178"/>
    <hyperlink ref="P17" r:id="rId7" display="http://www.bav-astro.de/sfs/BAVM_link.php?BAVMnr=178"/>
    <hyperlink ref="P26" r:id="rId8" display="http://www.konkoly.hu/cgi-bin/IBVS?5806"/>
    <hyperlink ref="P18" r:id="rId9" display="http://www.bav-astro.de/sfs/BAVM_link.php?BAVMnr=183"/>
    <hyperlink ref="P19" r:id="rId10" display="http://www.bav-astro.de/sfs/BAVM_link.php?BAVMnr=201"/>
    <hyperlink ref="P20" r:id="rId11" display="http://www.bav-astro.de/sfs/BAVM_link.php?BAVMnr=215"/>
    <hyperlink ref="P21" r:id="rId12" display="http://www.konkoly.hu/cgi-bin/IBVS?6094"/>
    <hyperlink ref="P22" r:id="rId13" display="http://www.bav-astro.de/sfs/BAVM_link.php?BAVMnr=234"/>
    <hyperlink ref="P23" r:id="rId1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2024-02-02T03:51:21Z</dcterms:modified>
</cp:coreProperties>
</file>