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8502686-C5FE-4FA9-84EA-BE08B26F63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3" i="1" l="1"/>
  <c r="E51" i="1"/>
  <c r="F51" i="1"/>
  <c r="G51" i="1"/>
  <c r="I51" i="1"/>
  <c r="E54" i="1"/>
  <c r="F54" i="1"/>
  <c r="E57" i="1"/>
  <c r="F57" i="1"/>
  <c r="E59" i="1"/>
  <c r="F59" i="1"/>
  <c r="G59" i="1"/>
  <c r="K59" i="1"/>
  <c r="E62" i="1"/>
  <c r="F62" i="1"/>
  <c r="Q64" i="1"/>
  <c r="Q59" i="1"/>
  <c r="C7" i="1"/>
  <c r="E52" i="1"/>
  <c r="F52" i="1"/>
  <c r="C8" i="1"/>
  <c r="E22" i="1"/>
  <c r="F22" i="1"/>
  <c r="E24" i="1"/>
  <c r="F24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4" i="1"/>
  <c r="F44" i="1"/>
  <c r="U44" i="1"/>
  <c r="E45" i="1"/>
  <c r="F45" i="1"/>
  <c r="G45" i="1"/>
  <c r="K45" i="1"/>
  <c r="E46" i="1"/>
  <c r="F46" i="1"/>
  <c r="G46" i="1"/>
  <c r="K46" i="1"/>
  <c r="D9" i="1"/>
  <c r="C9" i="1"/>
  <c r="E43" i="1"/>
  <c r="F43" i="1"/>
  <c r="U43" i="1"/>
  <c r="E23" i="1"/>
  <c r="F23" i="1"/>
  <c r="G23" i="1"/>
  <c r="E47" i="1"/>
  <c r="F47" i="1"/>
  <c r="G47" i="1"/>
  <c r="J47" i="1"/>
  <c r="E48" i="1"/>
  <c r="F48" i="1"/>
  <c r="G48" i="1"/>
  <c r="J48" i="1"/>
  <c r="Q58" i="1"/>
  <c r="Q56" i="1"/>
  <c r="Q53" i="1"/>
  <c r="Q51" i="1"/>
  <c r="Q46" i="1"/>
  <c r="Q45" i="1"/>
  <c r="Q44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2" i="1"/>
  <c r="Q21" i="1"/>
  <c r="G19" i="2"/>
  <c r="C19" i="2"/>
  <c r="E19" i="2"/>
  <c r="G18" i="2"/>
  <c r="C18" i="2"/>
  <c r="G49" i="2"/>
  <c r="C49" i="2"/>
  <c r="E49" i="2"/>
  <c r="G48" i="2"/>
  <c r="C48" i="2"/>
  <c r="G17" i="2"/>
  <c r="C17" i="2"/>
  <c r="E17" i="2"/>
  <c r="G47" i="2"/>
  <c r="C47" i="2"/>
  <c r="G46" i="2"/>
  <c r="C46" i="2"/>
  <c r="E46" i="2"/>
  <c r="G16" i="2"/>
  <c r="C16" i="2"/>
  <c r="E16" i="2"/>
  <c r="G45" i="2"/>
  <c r="C45" i="2"/>
  <c r="G44" i="2"/>
  <c r="C44" i="2"/>
  <c r="E44" i="2"/>
  <c r="G15" i="2"/>
  <c r="C15" i="2"/>
  <c r="G14" i="2"/>
  <c r="C14" i="2"/>
  <c r="G13" i="2"/>
  <c r="C13" i="2"/>
  <c r="E13" i="2"/>
  <c r="G12" i="2"/>
  <c r="C12" i="2"/>
  <c r="E12" i="2"/>
  <c r="G43" i="2"/>
  <c r="C43" i="2"/>
  <c r="E43" i="2"/>
  <c r="G42" i="2"/>
  <c r="C42" i="2"/>
  <c r="E42" i="2"/>
  <c r="G41" i="2"/>
  <c r="C41" i="2"/>
  <c r="E41" i="2"/>
  <c r="G11" i="2"/>
  <c r="C11" i="2"/>
  <c r="E1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G22" i="2"/>
  <c r="C22" i="2"/>
  <c r="E22" i="2"/>
  <c r="G21" i="2"/>
  <c r="C21" i="2"/>
  <c r="E21" i="2"/>
  <c r="G20" i="2"/>
  <c r="C20" i="2"/>
  <c r="H19" i="2"/>
  <c r="B19" i="2"/>
  <c r="D19" i="2"/>
  <c r="A19" i="2"/>
  <c r="H18" i="2"/>
  <c r="D18" i="2"/>
  <c r="B18" i="2"/>
  <c r="A18" i="2"/>
  <c r="H49" i="2"/>
  <c r="B49" i="2"/>
  <c r="D49" i="2"/>
  <c r="A49" i="2"/>
  <c r="H48" i="2"/>
  <c r="D48" i="2"/>
  <c r="B48" i="2"/>
  <c r="A48" i="2"/>
  <c r="H17" i="2"/>
  <c r="B17" i="2"/>
  <c r="D17" i="2"/>
  <c r="A17" i="2"/>
  <c r="H47" i="2"/>
  <c r="D47" i="2"/>
  <c r="B47" i="2"/>
  <c r="A47" i="2"/>
  <c r="H46" i="2"/>
  <c r="B46" i="2"/>
  <c r="D46" i="2"/>
  <c r="A46" i="2"/>
  <c r="H16" i="2"/>
  <c r="D16" i="2"/>
  <c r="B16" i="2"/>
  <c r="A16" i="2"/>
  <c r="H45" i="2"/>
  <c r="B45" i="2"/>
  <c r="D45" i="2"/>
  <c r="A45" i="2"/>
  <c r="H44" i="2"/>
  <c r="D44" i="2"/>
  <c r="B44" i="2"/>
  <c r="A44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43" i="2"/>
  <c r="B43" i="2"/>
  <c r="D43" i="2"/>
  <c r="A43" i="2"/>
  <c r="H42" i="2"/>
  <c r="D42" i="2"/>
  <c r="B42" i="2"/>
  <c r="A42" i="2"/>
  <c r="H41" i="2"/>
  <c r="B41" i="2"/>
  <c r="D41" i="2"/>
  <c r="A41" i="2"/>
  <c r="H11" i="2"/>
  <c r="D11" i="2"/>
  <c r="B11" i="2"/>
  <c r="A1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Q61" i="1"/>
  <c r="Q62" i="1"/>
  <c r="Q60" i="1"/>
  <c r="Q57" i="1"/>
  <c r="F16" i="1"/>
  <c r="F17" i="1" s="1"/>
  <c r="C17" i="1"/>
  <c r="Q55" i="1"/>
  <c r="Q54" i="1"/>
  <c r="Q52" i="1"/>
  <c r="Q47" i="1"/>
  <c r="Q48" i="1"/>
  <c r="Q49" i="1"/>
  <c r="Q50" i="1"/>
  <c r="Q43" i="1"/>
  <c r="Q23" i="1"/>
  <c r="AF43" i="1"/>
  <c r="E14" i="2"/>
  <c r="E47" i="2"/>
  <c r="E20" i="2"/>
  <c r="E45" i="2"/>
  <c r="E49" i="1"/>
  <c r="F49" i="1"/>
  <c r="G63" i="1"/>
  <c r="K63" i="1"/>
  <c r="E25" i="1"/>
  <c r="F25" i="1"/>
  <c r="G25" i="1"/>
  <c r="I25" i="1"/>
  <c r="E56" i="1"/>
  <c r="F56" i="1"/>
  <c r="G56" i="1"/>
  <c r="K56" i="1"/>
  <c r="E63" i="1"/>
  <c r="F63" i="1"/>
  <c r="G24" i="1"/>
  <c r="I24" i="1"/>
  <c r="E21" i="1"/>
  <c r="F21" i="1"/>
  <c r="G21" i="1"/>
  <c r="I21" i="1"/>
  <c r="E61" i="1"/>
  <c r="F61" i="1"/>
  <c r="G61" i="1"/>
  <c r="K61" i="1"/>
  <c r="G55" i="1"/>
  <c r="K55" i="1"/>
  <c r="E53" i="1"/>
  <c r="F53" i="1"/>
  <c r="G53" i="1"/>
  <c r="I53" i="1"/>
  <c r="G64" i="1"/>
  <c r="K64" i="1"/>
  <c r="E58" i="1"/>
  <c r="F58" i="1"/>
  <c r="G58" i="1"/>
  <c r="K58" i="1"/>
  <c r="G52" i="1"/>
  <c r="J52" i="1"/>
  <c r="E50" i="1"/>
  <c r="F50" i="1"/>
  <c r="G50" i="1"/>
  <c r="J50" i="1"/>
  <c r="G57" i="1"/>
  <c r="K57" i="1"/>
  <c r="E55" i="1"/>
  <c r="F55" i="1"/>
  <c r="G49" i="1"/>
  <c r="E64" i="1"/>
  <c r="F64" i="1"/>
  <c r="G22" i="1"/>
  <c r="I22" i="1"/>
  <c r="G62" i="1"/>
  <c r="J62" i="1"/>
  <c r="E60" i="1"/>
  <c r="F60" i="1"/>
  <c r="G60" i="1"/>
  <c r="J60" i="1"/>
  <c r="G54" i="1"/>
  <c r="J54" i="1"/>
  <c r="E18" i="2"/>
  <c r="E48" i="2"/>
  <c r="J49" i="1"/>
  <c r="E23" i="2"/>
  <c r="E15" i="2"/>
  <c r="C11" i="1"/>
  <c r="C12" i="1"/>
  <c r="C16" i="1" l="1"/>
  <c r="D18" i="1" s="1"/>
  <c r="O31" i="1"/>
  <c r="O41" i="1"/>
  <c r="O30" i="1"/>
  <c r="O60" i="1"/>
  <c r="O54" i="1"/>
  <c r="O46" i="1"/>
  <c r="O22" i="1"/>
  <c r="O33" i="1"/>
  <c r="O21" i="1"/>
  <c r="O64" i="1"/>
  <c r="O56" i="1"/>
  <c r="O29" i="1"/>
  <c r="O45" i="1"/>
  <c r="O38" i="1"/>
  <c r="O42" i="1"/>
  <c r="O53" i="1"/>
  <c r="O25" i="1"/>
  <c r="O51" i="1"/>
  <c r="O44" i="1"/>
  <c r="O37" i="1"/>
  <c r="O34" i="1"/>
  <c r="O36" i="1"/>
  <c r="O62" i="1"/>
  <c r="O35" i="1"/>
  <c r="O40" i="1"/>
  <c r="O49" i="1"/>
  <c r="C15" i="1"/>
  <c r="F18" i="1" s="1"/>
  <c r="O57" i="1"/>
  <c r="O59" i="1"/>
  <c r="O55" i="1"/>
  <c r="O61" i="1"/>
  <c r="O23" i="1"/>
  <c r="O39" i="1"/>
  <c r="O26" i="1"/>
  <c r="O28" i="1"/>
  <c r="O48" i="1"/>
  <c r="O27" i="1"/>
  <c r="O32" i="1"/>
  <c r="O43" i="1"/>
  <c r="O47" i="1"/>
  <c r="O24" i="1"/>
  <c r="O58" i="1"/>
  <c r="O50" i="1"/>
  <c r="O52" i="1"/>
  <c r="O63" i="1"/>
  <c r="F19" i="1" l="1"/>
  <c r="C18" i="1"/>
</calcChain>
</file>

<file path=xl/sharedStrings.xml><?xml version="1.0" encoding="utf-8"?>
<sst xmlns="http://schemas.openxmlformats.org/spreadsheetml/2006/main" count="465" uniqueCount="214">
  <si>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</si>
  <si>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</si>
  <si>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</si>
  <si>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</si>
  <si>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</si>
  <si>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</si>
  <si>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</si>
  <si>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</si>
  <si>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</si>
  <si>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</si>
  <si>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</si>
  <si>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</si>
  <si>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</si>
  <si>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</si>
  <si>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</si>
  <si>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</si>
  <si>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</si>
  <si>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</si>
  <si>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</si>
  <si>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</si>
  <si>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</si>
  <si>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</si>
  <si>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</si>
  <si>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</si>
  <si>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</si>
  <si>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</si>
  <si>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</si>
  <si>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</si>
  <si>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</si>
  <si>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Diethelm R</t>
  </si>
  <si>
    <t>BBSAG Bull.81</t>
  </si>
  <si>
    <t>B</t>
  </si>
  <si>
    <t>IBVS 5016</t>
  </si>
  <si>
    <t>IBVS 4222</t>
  </si>
  <si>
    <t>EA/DM: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</si>
  <si>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</si>
  <si>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</si>
  <si>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</si>
  <si>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</si>
  <si>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</si>
  <si>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</si>
  <si>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5761</t>
  </si>
  <si>
    <t>II</t>
  </si>
  <si>
    <t>Start of linear fit &gt;&gt;&gt;&gt;&gt;&gt;&gt;&gt;&gt;&gt;&gt;&gt;&gt;&gt;&gt;&gt;&gt;&gt;&gt;&gt;&gt;</t>
  </si>
  <si>
    <t>OEJV 0094</t>
  </si>
  <si>
    <t>I</t>
  </si>
  <si>
    <t>Add cycle</t>
  </si>
  <si>
    <t>Old Cycle</t>
  </si>
  <si>
    <t>OEJV 0137</t>
  </si>
  <si>
    <t>IBVS 6149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</si>
  <si>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</si>
  <si>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</si>
  <si>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</si>
  <si>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</si>
  <si>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</si>
  <si>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</si>
  <si>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</si>
  <si>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</si>
  <si>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</si>
  <si>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</si>
  <si>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</si>
  <si>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</si>
  <si>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</si>
  <si>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2432822.425 </t>
  </si>
  <si>
    <t> 27.09.1948 22:12 </t>
  </si>
  <si>
    <t> -0.033 </t>
  </si>
  <si>
    <t> A.A.Wachmann </t>
  </si>
  <si>
    <t> AHSB 6.3.35 </t>
  </si>
  <si>
    <t>2433946.384 </t>
  </si>
  <si>
    <t> 26.10.1951 21:12 </t>
  </si>
  <si>
    <t> 0.003 </t>
  </si>
  <si>
    <t>2434119.469 </t>
  </si>
  <si>
    <t> 16.04.1952 23:15 </t>
  </si>
  <si>
    <t> 0.042 </t>
  </si>
  <si>
    <t>2434215.530 </t>
  </si>
  <si>
    <t> 22.07.1952 00:43 </t>
  </si>
  <si>
    <t>2434626.338 </t>
  </si>
  <si>
    <t> 05.09.1953 20:06 </t>
  </si>
  <si>
    <t> 0.010 </t>
  </si>
  <si>
    <t>2435070.332 </t>
  </si>
  <si>
    <t> 23.11.1954 19:58 </t>
  </si>
  <si>
    <t> 0.028 </t>
  </si>
  <si>
    <t>2435374.424 </t>
  </si>
  <si>
    <t> 23.09.1955 22:10 </t>
  </si>
  <si>
    <t> -0.021 </t>
  </si>
  <si>
    <t>2436810.343 </t>
  </si>
  <si>
    <t> 29.08.1959 20:13 </t>
  </si>
  <si>
    <t> -0.031 </t>
  </si>
  <si>
    <t>P </t>
  </si>
  <si>
    <t> K.Häussler </t>
  </si>
  <si>
    <t> HABZ 41 </t>
  </si>
  <si>
    <t>2436816.493 </t>
  </si>
  <si>
    <t> 04.09.1959 23:49 </t>
  </si>
  <si>
    <t> 0.001 </t>
  </si>
  <si>
    <t>2436837.433 </t>
  </si>
  <si>
    <t> 25.09.1959 22:23 </t>
  </si>
  <si>
    <t> -0.034 </t>
  </si>
  <si>
    <t>2436894.284 </t>
  </si>
  <si>
    <t> 21.11.1959 18:48 </t>
  </si>
  <si>
    <t> 0.009 </t>
  </si>
  <si>
    <t>2437191.409 </t>
  </si>
  <si>
    <t> 13.09.1960 21:48 </t>
  </si>
  <si>
    <t> -0.016 </t>
  </si>
  <si>
    <t>2437199.315 </t>
  </si>
  <si>
    <t> 21.09.1960 19:33 </t>
  </si>
  <si>
    <t> 0.025 </t>
  </si>
  <si>
    <t>2437940.427 </t>
  </si>
  <si>
    <t> 02.10.1962 22:14 </t>
  </si>
  <si>
    <t> 0.012 </t>
  </si>
  <si>
    <t>2437961.365 </t>
  </si>
  <si>
    <t> 23.10.1962 20:45 </t>
  </si>
  <si>
    <t> -0.025 </t>
  </si>
  <si>
    <t>2438322.332 </t>
  </si>
  <si>
    <t> 19.10.1963 19:58 </t>
  </si>
  <si>
    <t> -0.007 </t>
  </si>
  <si>
    <t>2438557.439 </t>
  </si>
  <si>
    <t> 10.06.1964 22:32 </t>
  </si>
  <si>
    <t> 0.002 </t>
  </si>
  <si>
    <t>2438613.421 </t>
  </si>
  <si>
    <t> 05.08.1964 22:06 </t>
  </si>
  <si>
    <t> 0.051 </t>
  </si>
  <si>
    <t>2438640.456 </t>
  </si>
  <si>
    <t> 01.09.1964 22:56 </t>
  </si>
  <si>
    <t>2438675.395 </t>
  </si>
  <si>
    <t> 06.10.1964 21:28 </t>
  </si>
  <si>
    <t> -0.027 </t>
  </si>
  <si>
    <t>2439029.370 </t>
  </si>
  <si>
    <t> 25.09.1965 20:52 </t>
  </si>
  <si>
    <t> -0.009 </t>
  </si>
  <si>
    <t>2446678.331 </t>
  </si>
  <si>
    <t> 04.09.1986 19:56 </t>
  </si>
  <si>
    <t>E </t>
  </si>
  <si>
    <t>?</t>
  </si>
  <si>
    <t> R.Diethelm </t>
  </si>
  <si>
    <t> BBS 81 </t>
  </si>
  <si>
    <t>2447759.387 </t>
  </si>
  <si>
    <t> 20.08.1989 21:17 </t>
  </si>
  <si>
    <t> -0.059 </t>
  </si>
  <si>
    <t> P.Frank </t>
  </si>
  <si>
    <t>BAVM 60 </t>
  </si>
  <si>
    <t>2449117.4686 </t>
  </si>
  <si>
    <t> 09.05.1993 23:14 </t>
  </si>
  <si>
    <t> -0.1232 </t>
  </si>
  <si>
    <t>G</t>
  </si>
  <si>
    <t> F.Agerer </t>
  </si>
  <si>
    <t>BAVM 62 </t>
  </si>
  <si>
    <t>2449117.4693 </t>
  </si>
  <si>
    <t> 09.05.1993 23:15 </t>
  </si>
  <si>
    <t> -0.1225 </t>
  </si>
  <si>
    <t>B;V</t>
  </si>
  <si>
    <t>2449547.4506 </t>
  </si>
  <si>
    <t> 13.07.1994 22:48 </t>
  </si>
  <si>
    <t> -0.1335 </t>
  </si>
  <si>
    <t>BAVM 80 </t>
  </si>
  <si>
    <t>2449547.4530 </t>
  </si>
  <si>
    <t> 13.07.1994 22:52 </t>
  </si>
  <si>
    <t> -0.1311 </t>
  </si>
  <si>
    <t>2449624.364 </t>
  </si>
  <si>
    <t> 28.09.1994 20:44 </t>
  </si>
  <si>
    <t> -0.129 </t>
  </si>
  <si>
    <t>2449624.368 </t>
  </si>
  <si>
    <t> 28.09.1994 20:49 </t>
  </si>
  <si>
    <t> -0.125 </t>
  </si>
  <si>
    <t>2451384.533 </t>
  </si>
  <si>
    <t> 25.07.1999 00:47 </t>
  </si>
  <si>
    <t> -0.132 </t>
  </si>
  <si>
    <t>BAVM 132 </t>
  </si>
  <si>
    <t>2451384.537 </t>
  </si>
  <si>
    <t> 25.07.1999 00:53 </t>
  </si>
  <si>
    <t> -0.128 </t>
  </si>
  <si>
    <t>2453992.4076 </t>
  </si>
  <si>
    <t> 13.09.2006 21:46 </t>
  </si>
  <si>
    <t> -0.1778 </t>
  </si>
  <si>
    <t>C </t>
  </si>
  <si>
    <t>-I</t>
  </si>
  <si>
    <t> F. Agerer </t>
  </si>
  <si>
    <t>BAVM 183 </t>
  </si>
  <si>
    <t>2454318.4106 </t>
  </si>
  <si>
    <t> 05.08.2007 21:51 </t>
  </si>
  <si>
    <t>11556</t>
  </si>
  <si>
    <t> -0.1648 </t>
  </si>
  <si>
    <t> F.Lomoz </t>
  </si>
  <si>
    <t>OEJV 0094 </t>
  </si>
  <si>
    <t>2454685.4651 </t>
  </si>
  <si>
    <t> 06.08.2008 23:09 </t>
  </si>
  <si>
    <t>11766</t>
  </si>
  <si>
    <t> -0.1769 </t>
  </si>
  <si>
    <t>BAVM 203 </t>
  </si>
  <si>
    <t>2455060.3962 </t>
  </si>
  <si>
    <t> 16.08.2009 21:30 </t>
  </si>
  <si>
    <t>11980.5</t>
  </si>
  <si>
    <t> -0.1780 </t>
  </si>
  <si>
    <t> L.Brát </t>
  </si>
  <si>
    <t>OEJV 0137 </t>
  </si>
  <si>
    <t>2455794.5221 </t>
  </si>
  <si>
    <t> 21.08.2011 00:31 </t>
  </si>
  <si>
    <t>12400.5</t>
  </si>
  <si>
    <t> -0.1853 </t>
  </si>
  <si>
    <t>BAVM 225 </t>
  </si>
  <si>
    <t>2455794.5287 </t>
  </si>
  <si>
    <t> 21.08.2011 00:41 </t>
  </si>
  <si>
    <t> -0.1787 </t>
  </si>
  <si>
    <t>o</t>
  </si>
  <si>
    <t>2456821.4204 </t>
  </si>
  <si>
    <t> 12.06.2014 22:05 </t>
  </si>
  <si>
    <t>12988</t>
  </si>
  <si>
    <t> -0.1994 </t>
  </si>
  <si>
    <t>BAVM 238 </t>
  </si>
  <si>
    <t>2456862.4953 </t>
  </si>
  <si>
    <t> 23.07.2014 23:53 </t>
  </si>
  <si>
    <t>13011.5</t>
  </si>
  <si>
    <t> -0.2010 </t>
  </si>
  <si>
    <t>BAD?</t>
  </si>
  <si>
    <t>V0889 Cyg / GSC 2150-4751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</si>
</sst>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7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5" fillId="0" borderId="0" xfId="0" applyFont="1">
      <alignment vertical="top"/>
    </xf>
    <xf numFmtId="0" fontId="8" fillId="0" borderId="0" xfId="0" applyFont="1" applyAlignment="1"/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V0889 Cyg - O-C Diagr.</a:t>
            </a:r>
          </a:p>
        </c:rich>
      </c:tx>
      <c:layout>
        <c:manualLayout>
          <c:xMode val="edge"/>
          <c:yMode val="edge"/>
          <c:x val="0.3629032258064516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769252958613219"/>
          <c:w val="0.8096774193548387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-742</c:v>
                </c:pt>
                <c:pt idx="1">
                  <c:v>-99</c:v>
                </c:pt>
                <c:pt idx="2">
                  <c:v>0</c:v>
                </c:pt>
                <c:pt idx="3">
                  <c:v>0</c:v>
                </c:pt>
                <c:pt idx="4">
                  <c:v>55</c:v>
                </c:pt>
                <c:pt idx="5">
                  <c:v>290</c:v>
                </c:pt>
                <c:pt idx="6">
                  <c:v>544</c:v>
                </c:pt>
                <c:pt idx="7">
                  <c:v>718</c:v>
                </c:pt>
                <c:pt idx="8">
                  <c:v>1539.5</c:v>
                </c:pt>
                <c:pt idx="9">
                  <c:v>1543</c:v>
                </c:pt>
                <c:pt idx="10">
                  <c:v>1555</c:v>
                </c:pt>
                <c:pt idx="11">
                  <c:v>1587.5</c:v>
                </c:pt>
                <c:pt idx="12">
                  <c:v>1757.5</c:v>
                </c:pt>
                <c:pt idx="13">
                  <c:v>1762</c:v>
                </c:pt>
                <c:pt idx="14">
                  <c:v>2186</c:v>
                </c:pt>
                <c:pt idx="15">
                  <c:v>2198</c:v>
                </c:pt>
                <c:pt idx="16">
                  <c:v>2404.5</c:v>
                </c:pt>
                <c:pt idx="17">
                  <c:v>2539</c:v>
                </c:pt>
                <c:pt idx="18">
                  <c:v>2571</c:v>
                </c:pt>
                <c:pt idx="19">
                  <c:v>2586.5</c:v>
                </c:pt>
                <c:pt idx="20">
                  <c:v>2606.5</c:v>
                </c:pt>
                <c:pt idx="21">
                  <c:v>2809</c:v>
                </c:pt>
                <c:pt idx="22">
                  <c:v>7185</c:v>
                </c:pt>
                <c:pt idx="23">
                  <c:v>7803.5</c:v>
                </c:pt>
                <c:pt idx="24">
                  <c:v>8580.5</c:v>
                </c:pt>
                <c:pt idx="25">
                  <c:v>8580.5</c:v>
                </c:pt>
                <c:pt idx="26">
                  <c:v>8826.5</c:v>
                </c:pt>
                <c:pt idx="27">
                  <c:v>8826.5</c:v>
                </c:pt>
                <c:pt idx="28">
                  <c:v>8870.5</c:v>
                </c:pt>
                <c:pt idx="29">
                  <c:v>8870.5</c:v>
                </c:pt>
                <c:pt idx="30">
                  <c:v>9877.5</c:v>
                </c:pt>
                <c:pt idx="31">
                  <c:v>9877.5</c:v>
                </c:pt>
                <c:pt idx="32">
                  <c:v>9877.5</c:v>
                </c:pt>
                <c:pt idx="33">
                  <c:v>11369.5</c:v>
                </c:pt>
                <c:pt idx="34">
                  <c:v>11556</c:v>
                </c:pt>
                <c:pt idx="35">
                  <c:v>11766</c:v>
                </c:pt>
                <c:pt idx="36">
                  <c:v>11980.5</c:v>
                </c:pt>
                <c:pt idx="37">
                  <c:v>12400.5</c:v>
                </c:pt>
                <c:pt idx="38">
                  <c:v>12400.5</c:v>
                </c:pt>
                <c:pt idx="39">
                  <c:v>12988</c:v>
                </c:pt>
                <c:pt idx="40">
                  <c:v>12996</c:v>
                </c:pt>
                <c:pt idx="41">
                  <c:v>13011.5</c:v>
                </c:pt>
                <c:pt idx="42">
                  <c:v>13230</c:v>
                </c:pt>
                <c:pt idx="43">
                  <c:v>13412.5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48-4A15-B795-9372BBD54B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-742</c:v>
                </c:pt>
                <c:pt idx="1">
                  <c:v>-99</c:v>
                </c:pt>
                <c:pt idx="2">
                  <c:v>0</c:v>
                </c:pt>
                <c:pt idx="3">
                  <c:v>0</c:v>
                </c:pt>
                <c:pt idx="4">
                  <c:v>55</c:v>
                </c:pt>
                <c:pt idx="5">
                  <c:v>290</c:v>
                </c:pt>
                <c:pt idx="6">
                  <c:v>544</c:v>
                </c:pt>
                <c:pt idx="7">
                  <c:v>718</c:v>
                </c:pt>
                <c:pt idx="8">
                  <c:v>1539.5</c:v>
                </c:pt>
                <c:pt idx="9">
                  <c:v>1543</c:v>
                </c:pt>
                <c:pt idx="10">
                  <c:v>1555</c:v>
                </c:pt>
                <c:pt idx="11">
                  <c:v>1587.5</c:v>
                </c:pt>
                <c:pt idx="12">
                  <c:v>1757.5</c:v>
                </c:pt>
                <c:pt idx="13">
                  <c:v>1762</c:v>
                </c:pt>
                <c:pt idx="14">
                  <c:v>2186</c:v>
                </c:pt>
                <c:pt idx="15">
                  <c:v>2198</c:v>
                </c:pt>
                <c:pt idx="16">
                  <c:v>2404.5</c:v>
                </c:pt>
                <c:pt idx="17">
                  <c:v>2539</c:v>
                </c:pt>
                <c:pt idx="18">
                  <c:v>2571</c:v>
                </c:pt>
                <c:pt idx="19">
                  <c:v>2586.5</c:v>
                </c:pt>
                <c:pt idx="20">
                  <c:v>2606.5</c:v>
                </c:pt>
                <c:pt idx="21">
                  <c:v>2809</c:v>
                </c:pt>
                <c:pt idx="22">
                  <c:v>7185</c:v>
                </c:pt>
                <c:pt idx="23">
                  <c:v>7803.5</c:v>
                </c:pt>
                <c:pt idx="24">
                  <c:v>8580.5</c:v>
                </c:pt>
                <c:pt idx="25">
                  <c:v>8580.5</c:v>
                </c:pt>
                <c:pt idx="26">
                  <c:v>8826.5</c:v>
                </c:pt>
                <c:pt idx="27">
                  <c:v>8826.5</c:v>
                </c:pt>
                <c:pt idx="28">
                  <c:v>8870.5</c:v>
                </c:pt>
                <c:pt idx="29">
                  <c:v>8870.5</c:v>
                </c:pt>
                <c:pt idx="30">
                  <c:v>9877.5</c:v>
                </c:pt>
                <c:pt idx="31">
                  <c:v>9877.5</c:v>
                </c:pt>
                <c:pt idx="32">
                  <c:v>9877.5</c:v>
                </c:pt>
                <c:pt idx="33">
                  <c:v>11369.5</c:v>
                </c:pt>
                <c:pt idx="34">
                  <c:v>11556</c:v>
                </c:pt>
                <c:pt idx="35">
                  <c:v>11766</c:v>
                </c:pt>
                <c:pt idx="36">
                  <c:v>11980.5</c:v>
                </c:pt>
                <c:pt idx="37">
                  <c:v>12400.5</c:v>
                </c:pt>
                <c:pt idx="38">
                  <c:v>12400.5</c:v>
                </c:pt>
                <c:pt idx="39">
                  <c:v>12988</c:v>
                </c:pt>
                <c:pt idx="40">
                  <c:v>12996</c:v>
                </c:pt>
                <c:pt idx="41">
                  <c:v>13011.5</c:v>
                </c:pt>
                <c:pt idx="42">
                  <c:v>13230</c:v>
                </c:pt>
                <c:pt idx="43">
                  <c:v>13412.5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-3.348800000094343E-2</c:v>
                </c:pt>
                <c:pt idx="1">
                  <c:v>2.6639999923645519E-3</c:v>
                </c:pt>
                <c:pt idx="3">
                  <c:v>4.1999999994004611E-2</c:v>
                </c:pt>
                <c:pt idx="4">
                  <c:v>-3.3480000005511101E-2</c:v>
                </c:pt>
                <c:pt idx="5">
                  <c:v>9.5599999986006878E-3</c:v>
                </c:pt>
                <c:pt idx="6">
                  <c:v>2.7816000001621433E-2</c:v>
                </c:pt>
                <c:pt idx="7">
                  <c:v>-2.1048000002338085E-2</c:v>
                </c:pt>
                <c:pt idx="8">
                  <c:v>-3.1472000002395362E-2</c:v>
                </c:pt>
                <c:pt idx="9">
                  <c:v>7.5199999992037192E-4</c:v>
                </c:pt>
                <c:pt idx="10">
                  <c:v>-3.4480000009352807E-2</c:v>
                </c:pt>
                <c:pt idx="11">
                  <c:v>8.5999999937484972E-3</c:v>
                </c:pt>
                <c:pt idx="12">
                  <c:v>-1.5520000000833534E-2</c:v>
                </c:pt>
                <c:pt idx="13">
                  <c:v>2.476800000295043E-2</c:v>
                </c:pt>
                <c:pt idx="14">
                  <c:v>1.190399999904912E-2</c:v>
                </c:pt>
                <c:pt idx="15">
                  <c:v>-2.5328000003355555E-2</c:v>
                </c:pt>
                <c:pt idx="16">
                  <c:v>-7.1119999993243255E-3</c:v>
                </c:pt>
                <c:pt idx="17">
                  <c:v>2.4959999936982058E-3</c:v>
                </c:pt>
                <c:pt idx="18">
                  <c:v>5.0543999997898936E-2</c:v>
                </c:pt>
                <c:pt idx="19">
                  <c:v>-7.4640000020735897E-3</c:v>
                </c:pt>
                <c:pt idx="20">
                  <c:v>-2.7184000005945563E-2</c:v>
                </c:pt>
                <c:pt idx="21">
                  <c:v>-9.2240000012679957E-3</c:v>
                </c:pt>
                <c:pt idx="30">
                  <c:v>-0.13183999999455409</c:v>
                </c:pt>
                <c:pt idx="32">
                  <c:v>-0.12784000000101514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48-4A15-B795-9372BBD54B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-742</c:v>
                </c:pt>
                <c:pt idx="1">
                  <c:v>-99</c:v>
                </c:pt>
                <c:pt idx="2">
                  <c:v>0</c:v>
                </c:pt>
                <c:pt idx="3">
                  <c:v>0</c:v>
                </c:pt>
                <c:pt idx="4">
                  <c:v>55</c:v>
                </c:pt>
                <c:pt idx="5">
                  <c:v>290</c:v>
                </c:pt>
                <c:pt idx="6">
                  <c:v>544</c:v>
                </c:pt>
                <c:pt idx="7">
                  <c:v>718</c:v>
                </c:pt>
                <c:pt idx="8">
                  <c:v>1539.5</c:v>
                </c:pt>
                <c:pt idx="9">
                  <c:v>1543</c:v>
                </c:pt>
                <c:pt idx="10">
                  <c:v>1555</c:v>
                </c:pt>
                <c:pt idx="11">
                  <c:v>1587.5</c:v>
                </c:pt>
                <c:pt idx="12">
                  <c:v>1757.5</c:v>
                </c:pt>
                <c:pt idx="13">
                  <c:v>1762</c:v>
                </c:pt>
                <c:pt idx="14">
                  <c:v>2186</c:v>
                </c:pt>
                <c:pt idx="15">
                  <c:v>2198</c:v>
                </c:pt>
                <c:pt idx="16">
                  <c:v>2404.5</c:v>
                </c:pt>
                <c:pt idx="17">
                  <c:v>2539</c:v>
                </c:pt>
                <c:pt idx="18">
                  <c:v>2571</c:v>
                </c:pt>
                <c:pt idx="19">
                  <c:v>2586.5</c:v>
                </c:pt>
                <c:pt idx="20">
                  <c:v>2606.5</c:v>
                </c:pt>
                <c:pt idx="21">
                  <c:v>2809</c:v>
                </c:pt>
                <c:pt idx="22">
                  <c:v>7185</c:v>
                </c:pt>
                <c:pt idx="23">
                  <c:v>7803.5</c:v>
                </c:pt>
                <c:pt idx="24">
                  <c:v>8580.5</c:v>
                </c:pt>
                <c:pt idx="25">
                  <c:v>8580.5</c:v>
                </c:pt>
                <c:pt idx="26">
                  <c:v>8826.5</c:v>
                </c:pt>
                <c:pt idx="27">
                  <c:v>8826.5</c:v>
                </c:pt>
                <c:pt idx="28">
                  <c:v>8870.5</c:v>
                </c:pt>
                <c:pt idx="29">
                  <c:v>8870.5</c:v>
                </c:pt>
                <c:pt idx="30">
                  <c:v>9877.5</c:v>
                </c:pt>
                <c:pt idx="31">
                  <c:v>9877.5</c:v>
                </c:pt>
                <c:pt idx="32">
                  <c:v>9877.5</c:v>
                </c:pt>
                <c:pt idx="33">
                  <c:v>11369.5</c:v>
                </c:pt>
                <c:pt idx="34">
                  <c:v>11556</c:v>
                </c:pt>
                <c:pt idx="35">
                  <c:v>11766</c:v>
                </c:pt>
                <c:pt idx="36">
                  <c:v>11980.5</c:v>
                </c:pt>
                <c:pt idx="37">
                  <c:v>12400.5</c:v>
                </c:pt>
                <c:pt idx="38">
                  <c:v>12400.5</c:v>
                </c:pt>
                <c:pt idx="39">
                  <c:v>12988</c:v>
                </c:pt>
                <c:pt idx="40">
                  <c:v>12996</c:v>
                </c:pt>
                <c:pt idx="41">
                  <c:v>13011.5</c:v>
                </c:pt>
                <c:pt idx="42">
                  <c:v>13230</c:v>
                </c:pt>
                <c:pt idx="43">
                  <c:v>13412.5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6">
                  <c:v>-0.13350400000490481</c:v>
                </c:pt>
                <c:pt idx="27">
                  <c:v>-0.13110400000005029</c:v>
                </c:pt>
                <c:pt idx="28">
                  <c:v>-0.12928800000372576</c:v>
                </c:pt>
                <c:pt idx="29">
                  <c:v>-0.12528800000291085</c:v>
                </c:pt>
                <c:pt idx="31">
                  <c:v>-0.12983999999414664</c:v>
                </c:pt>
                <c:pt idx="33">
                  <c:v>-0.17775200000323821</c:v>
                </c:pt>
                <c:pt idx="39">
                  <c:v>-0.19936800000141375</c:v>
                </c:pt>
                <c:pt idx="41">
                  <c:v>-0.20096399999601999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48-4A15-B795-9372BBD54B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1.5E-3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0</c:v>
                  </c:pt>
                  <c:pt idx="31">
                    <c:v>3.0000000000000001E-3</c:v>
                  </c:pt>
                  <c:pt idx="32">
                    <c:v>0</c:v>
                  </c:pt>
                  <c:pt idx="33">
                    <c:v>4.3E-3</c:v>
                  </c:pt>
                  <c:pt idx="34">
                    <c:v>1.4E-3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0</c:v>
                  </c:pt>
                  <c:pt idx="38">
                    <c:v>0</c:v>
                  </c:pt>
                  <c:pt idx="39">
                    <c:v>1.1000000000000001E-3</c:v>
                  </c:pt>
                  <c:pt idx="40">
                    <c:v>8.0000000000000004E-4</c:v>
                  </c:pt>
                  <c:pt idx="41">
                    <c:v>8.3000000000000001E-3</c:v>
                  </c:pt>
                  <c:pt idx="42">
                    <c:v>1.49E-2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1.5E-3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0</c:v>
                  </c:pt>
                  <c:pt idx="31">
                    <c:v>3.0000000000000001E-3</c:v>
                  </c:pt>
                  <c:pt idx="32">
                    <c:v>0</c:v>
                  </c:pt>
                  <c:pt idx="33">
                    <c:v>4.3E-3</c:v>
                  </c:pt>
                  <c:pt idx="34">
                    <c:v>1.4E-3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0</c:v>
                  </c:pt>
                  <c:pt idx="38">
                    <c:v>0</c:v>
                  </c:pt>
                  <c:pt idx="39">
                    <c:v>1.1000000000000001E-3</c:v>
                  </c:pt>
                  <c:pt idx="40">
                    <c:v>8.0000000000000004E-4</c:v>
                  </c:pt>
                  <c:pt idx="41">
                    <c:v>8.3000000000000001E-3</c:v>
                  </c:pt>
                  <c:pt idx="42">
                    <c:v>1.49E-2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-742</c:v>
                </c:pt>
                <c:pt idx="1">
                  <c:v>-99</c:v>
                </c:pt>
                <c:pt idx="2">
                  <c:v>0</c:v>
                </c:pt>
                <c:pt idx="3">
                  <c:v>0</c:v>
                </c:pt>
                <c:pt idx="4">
                  <c:v>55</c:v>
                </c:pt>
                <c:pt idx="5">
                  <c:v>290</c:v>
                </c:pt>
                <c:pt idx="6">
                  <c:v>544</c:v>
                </c:pt>
                <c:pt idx="7">
                  <c:v>718</c:v>
                </c:pt>
                <c:pt idx="8">
                  <c:v>1539.5</c:v>
                </c:pt>
                <c:pt idx="9">
                  <c:v>1543</c:v>
                </c:pt>
                <c:pt idx="10">
                  <c:v>1555</c:v>
                </c:pt>
                <c:pt idx="11">
                  <c:v>1587.5</c:v>
                </c:pt>
                <c:pt idx="12">
                  <c:v>1757.5</c:v>
                </c:pt>
                <c:pt idx="13">
                  <c:v>1762</c:v>
                </c:pt>
                <c:pt idx="14">
                  <c:v>2186</c:v>
                </c:pt>
                <c:pt idx="15">
                  <c:v>2198</c:v>
                </c:pt>
                <c:pt idx="16">
                  <c:v>2404.5</c:v>
                </c:pt>
                <c:pt idx="17">
                  <c:v>2539</c:v>
                </c:pt>
                <c:pt idx="18">
                  <c:v>2571</c:v>
                </c:pt>
                <c:pt idx="19">
                  <c:v>2586.5</c:v>
                </c:pt>
                <c:pt idx="20">
                  <c:v>2606.5</c:v>
                </c:pt>
                <c:pt idx="21">
                  <c:v>2809</c:v>
                </c:pt>
                <c:pt idx="22">
                  <c:v>7185</c:v>
                </c:pt>
                <c:pt idx="23">
                  <c:v>7803.5</c:v>
                </c:pt>
                <c:pt idx="24">
                  <c:v>8580.5</c:v>
                </c:pt>
                <c:pt idx="25">
                  <c:v>8580.5</c:v>
                </c:pt>
                <c:pt idx="26">
                  <c:v>8826.5</c:v>
                </c:pt>
                <c:pt idx="27">
                  <c:v>8826.5</c:v>
                </c:pt>
                <c:pt idx="28">
                  <c:v>8870.5</c:v>
                </c:pt>
                <c:pt idx="29">
                  <c:v>8870.5</c:v>
                </c:pt>
                <c:pt idx="30">
                  <c:v>9877.5</c:v>
                </c:pt>
                <c:pt idx="31">
                  <c:v>9877.5</c:v>
                </c:pt>
                <c:pt idx="32">
                  <c:v>9877.5</c:v>
                </c:pt>
                <c:pt idx="33">
                  <c:v>11369.5</c:v>
                </c:pt>
                <c:pt idx="34">
                  <c:v>11556</c:v>
                </c:pt>
                <c:pt idx="35">
                  <c:v>11766</c:v>
                </c:pt>
                <c:pt idx="36">
                  <c:v>11980.5</c:v>
                </c:pt>
                <c:pt idx="37">
                  <c:v>12400.5</c:v>
                </c:pt>
                <c:pt idx="38">
                  <c:v>12400.5</c:v>
                </c:pt>
                <c:pt idx="39">
                  <c:v>12988</c:v>
                </c:pt>
                <c:pt idx="40">
                  <c:v>12996</c:v>
                </c:pt>
                <c:pt idx="41">
                  <c:v>13011.5</c:v>
                </c:pt>
                <c:pt idx="42">
                  <c:v>13230</c:v>
                </c:pt>
                <c:pt idx="43">
                  <c:v>13412.5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4">
                  <c:v>-0.12324800000351388</c:v>
                </c:pt>
                <c:pt idx="25">
                  <c:v>-0.12254800000664545</c:v>
                </c:pt>
                <c:pt idx="34">
                  <c:v>-0.16480600000795675</c:v>
                </c:pt>
                <c:pt idx="35">
                  <c:v>-0.17687599999771919</c:v>
                </c:pt>
                <c:pt idx="36">
                  <c:v>-0.17804800000158139</c:v>
                </c:pt>
                <c:pt idx="37">
                  <c:v>-0.18526800000108778</c:v>
                </c:pt>
                <c:pt idx="38">
                  <c:v>-0.17866800000047078</c:v>
                </c:pt>
                <c:pt idx="40">
                  <c:v>-0.19401600000128383</c:v>
                </c:pt>
                <c:pt idx="42">
                  <c:v>-0.20298000000184402</c:v>
                </c:pt>
                <c:pt idx="43">
                  <c:v>-0.19740000000456348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48-4A15-B795-9372BBD54B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1.5E-3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0</c:v>
                  </c:pt>
                  <c:pt idx="31">
                    <c:v>3.0000000000000001E-3</c:v>
                  </c:pt>
                  <c:pt idx="32">
                    <c:v>0</c:v>
                  </c:pt>
                  <c:pt idx="33">
                    <c:v>4.3E-3</c:v>
                  </c:pt>
                  <c:pt idx="34">
                    <c:v>1.4E-3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0</c:v>
                  </c:pt>
                  <c:pt idx="38">
                    <c:v>0</c:v>
                  </c:pt>
                  <c:pt idx="39">
                    <c:v>1.1000000000000001E-3</c:v>
                  </c:pt>
                  <c:pt idx="40">
                    <c:v>8.0000000000000004E-4</c:v>
                  </c:pt>
                  <c:pt idx="41">
                    <c:v>8.3000000000000001E-3</c:v>
                  </c:pt>
                  <c:pt idx="42">
                    <c:v>1.49E-2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1.5E-3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0</c:v>
                  </c:pt>
                  <c:pt idx="31">
                    <c:v>3.0000000000000001E-3</c:v>
                  </c:pt>
                  <c:pt idx="32">
                    <c:v>0</c:v>
                  </c:pt>
                  <c:pt idx="33">
                    <c:v>4.3E-3</c:v>
                  </c:pt>
                  <c:pt idx="34">
                    <c:v>1.4E-3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0</c:v>
                  </c:pt>
                  <c:pt idx="38">
                    <c:v>0</c:v>
                  </c:pt>
                  <c:pt idx="39">
                    <c:v>1.1000000000000001E-3</c:v>
                  </c:pt>
                  <c:pt idx="40">
                    <c:v>8.0000000000000004E-4</c:v>
                  </c:pt>
                  <c:pt idx="41">
                    <c:v>8.3000000000000001E-3</c:v>
                  </c:pt>
                  <c:pt idx="42">
                    <c:v>1.49E-2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-742</c:v>
                </c:pt>
                <c:pt idx="1">
                  <c:v>-99</c:v>
                </c:pt>
                <c:pt idx="2">
                  <c:v>0</c:v>
                </c:pt>
                <c:pt idx="3">
                  <c:v>0</c:v>
                </c:pt>
                <c:pt idx="4">
                  <c:v>55</c:v>
                </c:pt>
                <c:pt idx="5">
                  <c:v>290</c:v>
                </c:pt>
                <c:pt idx="6">
                  <c:v>544</c:v>
                </c:pt>
                <c:pt idx="7">
                  <c:v>718</c:v>
                </c:pt>
                <c:pt idx="8">
                  <c:v>1539.5</c:v>
                </c:pt>
                <c:pt idx="9">
                  <c:v>1543</c:v>
                </c:pt>
                <c:pt idx="10">
                  <c:v>1555</c:v>
                </c:pt>
                <c:pt idx="11">
                  <c:v>1587.5</c:v>
                </c:pt>
                <c:pt idx="12">
                  <c:v>1757.5</c:v>
                </c:pt>
                <c:pt idx="13">
                  <c:v>1762</c:v>
                </c:pt>
                <c:pt idx="14">
                  <c:v>2186</c:v>
                </c:pt>
                <c:pt idx="15">
                  <c:v>2198</c:v>
                </c:pt>
                <c:pt idx="16">
                  <c:v>2404.5</c:v>
                </c:pt>
                <c:pt idx="17">
                  <c:v>2539</c:v>
                </c:pt>
                <c:pt idx="18">
                  <c:v>2571</c:v>
                </c:pt>
                <c:pt idx="19">
                  <c:v>2586.5</c:v>
                </c:pt>
                <c:pt idx="20">
                  <c:v>2606.5</c:v>
                </c:pt>
                <c:pt idx="21">
                  <c:v>2809</c:v>
                </c:pt>
                <c:pt idx="22">
                  <c:v>7185</c:v>
                </c:pt>
                <c:pt idx="23">
                  <c:v>7803.5</c:v>
                </c:pt>
                <c:pt idx="24">
                  <c:v>8580.5</c:v>
                </c:pt>
                <c:pt idx="25">
                  <c:v>8580.5</c:v>
                </c:pt>
                <c:pt idx="26">
                  <c:v>8826.5</c:v>
                </c:pt>
                <c:pt idx="27">
                  <c:v>8826.5</c:v>
                </c:pt>
                <c:pt idx="28">
                  <c:v>8870.5</c:v>
                </c:pt>
                <c:pt idx="29">
                  <c:v>8870.5</c:v>
                </c:pt>
                <c:pt idx="30">
                  <c:v>9877.5</c:v>
                </c:pt>
                <c:pt idx="31">
                  <c:v>9877.5</c:v>
                </c:pt>
                <c:pt idx="32">
                  <c:v>9877.5</c:v>
                </c:pt>
                <c:pt idx="33">
                  <c:v>11369.5</c:v>
                </c:pt>
                <c:pt idx="34">
                  <c:v>11556</c:v>
                </c:pt>
                <c:pt idx="35">
                  <c:v>11766</c:v>
                </c:pt>
                <c:pt idx="36">
                  <c:v>11980.5</c:v>
                </c:pt>
                <c:pt idx="37">
                  <c:v>12400.5</c:v>
                </c:pt>
                <c:pt idx="38">
                  <c:v>12400.5</c:v>
                </c:pt>
                <c:pt idx="39">
                  <c:v>12988</c:v>
                </c:pt>
                <c:pt idx="40">
                  <c:v>12996</c:v>
                </c:pt>
                <c:pt idx="41">
                  <c:v>13011.5</c:v>
                </c:pt>
                <c:pt idx="42">
                  <c:v>13230</c:v>
                </c:pt>
                <c:pt idx="43">
                  <c:v>13412.5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48-4A15-B795-9372BBD54B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1.5E-3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0</c:v>
                  </c:pt>
                  <c:pt idx="31">
                    <c:v>3.0000000000000001E-3</c:v>
                  </c:pt>
                  <c:pt idx="32">
                    <c:v>0</c:v>
                  </c:pt>
                  <c:pt idx="33">
                    <c:v>4.3E-3</c:v>
                  </c:pt>
                  <c:pt idx="34">
                    <c:v>1.4E-3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0</c:v>
                  </c:pt>
                  <c:pt idx="38">
                    <c:v>0</c:v>
                  </c:pt>
                  <c:pt idx="39">
                    <c:v>1.1000000000000001E-3</c:v>
                  </c:pt>
                  <c:pt idx="40">
                    <c:v>8.0000000000000004E-4</c:v>
                  </c:pt>
                  <c:pt idx="41">
                    <c:v>8.3000000000000001E-3</c:v>
                  </c:pt>
                  <c:pt idx="42">
                    <c:v>1.49E-2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1.5E-3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0</c:v>
                  </c:pt>
                  <c:pt idx="31">
                    <c:v>3.0000000000000001E-3</c:v>
                  </c:pt>
                  <c:pt idx="32">
                    <c:v>0</c:v>
                  </c:pt>
                  <c:pt idx="33">
                    <c:v>4.3E-3</c:v>
                  </c:pt>
                  <c:pt idx="34">
                    <c:v>1.4E-3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0</c:v>
                  </c:pt>
                  <c:pt idx="38">
                    <c:v>0</c:v>
                  </c:pt>
                  <c:pt idx="39">
                    <c:v>1.1000000000000001E-3</c:v>
                  </c:pt>
                  <c:pt idx="40">
                    <c:v>8.0000000000000004E-4</c:v>
                  </c:pt>
                  <c:pt idx="41">
                    <c:v>8.3000000000000001E-3</c:v>
                  </c:pt>
                  <c:pt idx="42">
                    <c:v>1.49E-2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-742</c:v>
                </c:pt>
                <c:pt idx="1">
                  <c:v>-99</c:v>
                </c:pt>
                <c:pt idx="2">
                  <c:v>0</c:v>
                </c:pt>
                <c:pt idx="3">
                  <c:v>0</c:v>
                </c:pt>
                <c:pt idx="4">
                  <c:v>55</c:v>
                </c:pt>
                <c:pt idx="5">
                  <c:v>290</c:v>
                </c:pt>
                <c:pt idx="6">
                  <c:v>544</c:v>
                </c:pt>
                <c:pt idx="7">
                  <c:v>718</c:v>
                </c:pt>
                <c:pt idx="8">
                  <c:v>1539.5</c:v>
                </c:pt>
                <c:pt idx="9">
                  <c:v>1543</c:v>
                </c:pt>
                <c:pt idx="10">
                  <c:v>1555</c:v>
                </c:pt>
                <c:pt idx="11">
                  <c:v>1587.5</c:v>
                </c:pt>
                <c:pt idx="12">
                  <c:v>1757.5</c:v>
                </c:pt>
                <c:pt idx="13">
                  <c:v>1762</c:v>
                </c:pt>
                <c:pt idx="14">
                  <c:v>2186</c:v>
                </c:pt>
                <c:pt idx="15">
                  <c:v>2198</c:v>
                </c:pt>
                <c:pt idx="16">
                  <c:v>2404.5</c:v>
                </c:pt>
                <c:pt idx="17">
                  <c:v>2539</c:v>
                </c:pt>
                <c:pt idx="18">
                  <c:v>2571</c:v>
                </c:pt>
                <c:pt idx="19">
                  <c:v>2586.5</c:v>
                </c:pt>
                <c:pt idx="20">
                  <c:v>2606.5</c:v>
                </c:pt>
                <c:pt idx="21">
                  <c:v>2809</c:v>
                </c:pt>
                <c:pt idx="22">
                  <c:v>7185</c:v>
                </c:pt>
                <c:pt idx="23">
                  <c:v>7803.5</c:v>
                </c:pt>
                <c:pt idx="24">
                  <c:v>8580.5</c:v>
                </c:pt>
                <c:pt idx="25">
                  <c:v>8580.5</c:v>
                </c:pt>
                <c:pt idx="26">
                  <c:v>8826.5</c:v>
                </c:pt>
                <c:pt idx="27">
                  <c:v>8826.5</c:v>
                </c:pt>
                <c:pt idx="28">
                  <c:v>8870.5</c:v>
                </c:pt>
                <c:pt idx="29">
                  <c:v>8870.5</c:v>
                </c:pt>
                <c:pt idx="30">
                  <c:v>9877.5</c:v>
                </c:pt>
                <c:pt idx="31">
                  <c:v>9877.5</c:v>
                </c:pt>
                <c:pt idx="32">
                  <c:v>9877.5</c:v>
                </c:pt>
                <c:pt idx="33">
                  <c:v>11369.5</c:v>
                </c:pt>
                <c:pt idx="34">
                  <c:v>11556</c:v>
                </c:pt>
                <c:pt idx="35">
                  <c:v>11766</c:v>
                </c:pt>
                <c:pt idx="36">
                  <c:v>11980.5</c:v>
                </c:pt>
                <c:pt idx="37">
                  <c:v>12400.5</c:v>
                </c:pt>
                <c:pt idx="38">
                  <c:v>12400.5</c:v>
                </c:pt>
                <c:pt idx="39">
                  <c:v>12988</c:v>
                </c:pt>
                <c:pt idx="40">
                  <c:v>12996</c:v>
                </c:pt>
                <c:pt idx="41">
                  <c:v>13011.5</c:v>
                </c:pt>
                <c:pt idx="42">
                  <c:v>13230</c:v>
                </c:pt>
                <c:pt idx="43">
                  <c:v>13412.5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48-4A15-B795-9372BBD54B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1.5E-3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0</c:v>
                  </c:pt>
                  <c:pt idx="31">
                    <c:v>3.0000000000000001E-3</c:v>
                  </c:pt>
                  <c:pt idx="32">
                    <c:v>0</c:v>
                  </c:pt>
                  <c:pt idx="33">
                    <c:v>4.3E-3</c:v>
                  </c:pt>
                  <c:pt idx="34">
                    <c:v>1.4E-3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0</c:v>
                  </c:pt>
                  <c:pt idx="38">
                    <c:v>0</c:v>
                  </c:pt>
                  <c:pt idx="39">
                    <c:v>1.1000000000000001E-3</c:v>
                  </c:pt>
                  <c:pt idx="40">
                    <c:v>8.0000000000000004E-4</c:v>
                  </c:pt>
                  <c:pt idx="41">
                    <c:v>8.3000000000000001E-3</c:v>
                  </c:pt>
                  <c:pt idx="42">
                    <c:v>1.49E-2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1.5E-3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0</c:v>
                  </c:pt>
                  <c:pt idx="31">
                    <c:v>3.0000000000000001E-3</c:v>
                  </c:pt>
                  <c:pt idx="32">
                    <c:v>0</c:v>
                  </c:pt>
                  <c:pt idx="33">
                    <c:v>4.3E-3</c:v>
                  </c:pt>
                  <c:pt idx="34">
                    <c:v>1.4E-3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0</c:v>
                  </c:pt>
                  <c:pt idx="38">
                    <c:v>0</c:v>
                  </c:pt>
                  <c:pt idx="39">
                    <c:v>1.1000000000000001E-3</c:v>
                  </c:pt>
                  <c:pt idx="40">
                    <c:v>8.0000000000000004E-4</c:v>
                  </c:pt>
                  <c:pt idx="41">
                    <c:v>8.3000000000000001E-3</c:v>
                  </c:pt>
                  <c:pt idx="42">
                    <c:v>1.49E-2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-742</c:v>
                </c:pt>
                <c:pt idx="1">
                  <c:v>-99</c:v>
                </c:pt>
                <c:pt idx="2">
                  <c:v>0</c:v>
                </c:pt>
                <c:pt idx="3">
                  <c:v>0</c:v>
                </c:pt>
                <c:pt idx="4">
                  <c:v>55</c:v>
                </c:pt>
                <c:pt idx="5">
                  <c:v>290</c:v>
                </c:pt>
                <c:pt idx="6">
                  <c:v>544</c:v>
                </c:pt>
                <c:pt idx="7">
                  <c:v>718</c:v>
                </c:pt>
                <c:pt idx="8">
                  <c:v>1539.5</c:v>
                </c:pt>
                <c:pt idx="9">
                  <c:v>1543</c:v>
                </c:pt>
                <c:pt idx="10">
                  <c:v>1555</c:v>
                </c:pt>
                <c:pt idx="11">
                  <c:v>1587.5</c:v>
                </c:pt>
                <c:pt idx="12">
                  <c:v>1757.5</c:v>
                </c:pt>
                <c:pt idx="13">
                  <c:v>1762</c:v>
                </c:pt>
                <c:pt idx="14">
                  <c:v>2186</c:v>
                </c:pt>
                <c:pt idx="15">
                  <c:v>2198</c:v>
                </c:pt>
                <c:pt idx="16">
                  <c:v>2404.5</c:v>
                </c:pt>
                <c:pt idx="17">
                  <c:v>2539</c:v>
                </c:pt>
                <c:pt idx="18">
                  <c:v>2571</c:v>
                </c:pt>
                <c:pt idx="19">
                  <c:v>2586.5</c:v>
                </c:pt>
                <c:pt idx="20">
                  <c:v>2606.5</c:v>
                </c:pt>
                <c:pt idx="21">
                  <c:v>2809</c:v>
                </c:pt>
                <c:pt idx="22">
                  <c:v>7185</c:v>
                </c:pt>
                <c:pt idx="23">
                  <c:v>7803.5</c:v>
                </c:pt>
                <c:pt idx="24">
                  <c:v>8580.5</c:v>
                </c:pt>
                <c:pt idx="25">
                  <c:v>8580.5</c:v>
                </c:pt>
                <c:pt idx="26">
                  <c:v>8826.5</c:v>
                </c:pt>
                <c:pt idx="27">
                  <c:v>8826.5</c:v>
                </c:pt>
                <c:pt idx="28">
                  <c:v>8870.5</c:v>
                </c:pt>
                <c:pt idx="29">
                  <c:v>8870.5</c:v>
                </c:pt>
                <c:pt idx="30">
                  <c:v>9877.5</c:v>
                </c:pt>
                <c:pt idx="31">
                  <c:v>9877.5</c:v>
                </c:pt>
                <c:pt idx="32">
                  <c:v>9877.5</c:v>
                </c:pt>
                <c:pt idx="33">
                  <c:v>11369.5</c:v>
                </c:pt>
                <c:pt idx="34">
                  <c:v>11556</c:v>
                </c:pt>
                <c:pt idx="35">
                  <c:v>11766</c:v>
                </c:pt>
                <c:pt idx="36">
                  <c:v>11980.5</c:v>
                </c:pt>
                <c:pt idx="37">
                  <c:v>12400.5</c:v>
                </c:pt>
                <c:pt idx="38">
                  <c:v>12400.5</c:v>
                </c:pt>
                <c:pt idx="39">
                  <c:v>12988</c:v>
                </c:pt>
                <c:pt idx="40">
                  <c:v>12996</c:v>
                </c:pt>
                <c:pt idx="41">
                  <c:v>13011.5</c:v>
                </c:pt>
                <c:pt idx="42">
                  <c:v>13230</c:v>
                </c:pt>
                <c:pt idx="43">
                  <c:v>13412.5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48-4A15-B795-9372BBD54B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-742</c:v>
                </c:pt>
                <c:pt idx="1">
                  <c:v>-99</c:v>
                </c:pt>
                <c:pt idx="2">
                  <c:v>0</c:v>
                </c:pt>
                <c:pt idx="3">
                  <c:v>0</c:v>
                </c:pt>
                <c:pt idx="4">
                  <c:v>55</c:v>
                </c:pt>
                <c:pt idx="5">
                  <c:v>290</c:v>
                </c:pt>
                <c:pt idx="6">
                  <c:v>544</c:v>
                </c:pt>
                <c:pt idx="7">
                  <c:v>718</c:v>
                </c:pt>
                <c:pt idx="8">
                  <c:v>1539.5</c:v>
                </c:pt>
                <c:pt idx="9">
                  <c:v>1543</c:v>
                </c:pt>
                <c:pt idx="10">
                  <c:v>1555</c:v>
                </c:pt>
                <c:pt idx="11">
                  <c:v>1587.5</c:v>
                </c:pt>
                <c:pt idx="12">
                  <c:v>1757.5</c:v>
                </c:pt>
                <c:pt idx="13">
                  <c:v>1762</c:v>
                </c:pt>
                <c:pt idx="14">
                  <c:v>2186</c:v>
                </c:pt>
                <c:pt idx="15">
                  <c:v>2198</c:v>
                </c:pt>
                <c:pt idx="16">
                  <c:v>2404.5</c:v>
                </c:pt>
                <c:pt idx="17">
                  <c:v>2539</c:v>
                </c:pt>
                <c:pt idx="18">
                  <c:v>2571</c:v>
                </c:pt>
                <c:pt idx="19">
                  <c:v>2586.5</c:v>
                </c:pt>
                <c:pt idx="20">
                  <c:v>2606.5</c:v>
                </c:pt>
                <c:pt idx="21">
                  <c:v>2809</c:v>
                </c:pt>
                <c:pt idx="22">
                  <c:v>7185</c:v>
                </c:pt>
                <c:pt idx="23">
                  <c:v>7803.5</c:v>
                </c:pt>
                <c:pt idx="24">
                  <c:v>8580.5</c:v>
                </c:pt>
                <c:pt idx="25">
                  <c:v>8580.5</c:v>
                </c:pt>
                <c:pt idx="26">
                  <c:v>8826.5</c:v>
                </c:pt>
                <c:pt idx="27">
                  <c:v>8826.5</c:v>
                </c:pt>
                <c:pt idx="28">
                  <c:v>8870.5</c:v>
                </c:pt>
                <c:pt idx="29">
                  <c:v>8870.5</c:v>
                </c:pt>
                <c:pt idx="30">
                  <c:v>9877.5</c:v>
                </c:pt>
                <c:pt idx="31">
                  <c:v>9877.5</c:v>
                </c:pt>
                <c:pt idx="32">
                  <c:v>9877.5</c:v>
                </c:pt>
                <c:pt idx="33">
                  <c:v>11369.5</c:v>
                </c:pt>
                <c:pt idx="34">
                  <c:v>11556</c:v>
                </c:pt>
                <c:pt idx="35">
                  <c:v>11766</c:v>
                </c:pt>
                <c:pt idx="36">
                  <c:v>11980.5</c:v>
                </c:pt>
                <c:pt idx="37">
                  <c:v>12400.5</c:v>
                </c:pt>
                <c:pt idx="38">
                  <c:v>12400.5</c:v>
                </c:pt>
                <c:pt idx="39">
                  <c:v>12988</c:v>
                </c:pt>
                <c:pt idx="40">
                  <c:v>12996</c:v>
                </c:pt>
                <c:pt idx="41">
                  <c:v>13011.5</c:v>
                </c:pt>
                <c:pt idx="42">
                  <c:v>13230</c:v>
                </c:pt>
                <c:pt idx="43">
                  <c:v>13412.5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3.6947172613533273E-2</c:v>
                </c:pt>
                <c:pt idx="1">
                  <c:v>2.6100660750561323E-2</c:v>
                </c:pt>
                <c:pt idx="2">
                  <c:v>2.4430669032934227E-2</c:v>
                </c:pt>
                <c:pt idx="3">
                  <c:v>2.4430669032934227E-2</c:v>
                </c:pt>
                <c:pt idx="4">
                  <c:v>2.3502895856474727E-2</c:v>
                </c:pt>
                <c:pt idx="5">
                  <c:v>1.9538774102511418E-2</c:v>
                </c:pt>
                <c:pt idx="6">
                  <c:v>1.5254148887589376E-2</c:v>
                </c:pt>
                <c:pt idx="7">
                  <c:v>1.2319011929335691E-2</c:v>
                </c:pt>
                <c:pt idx="8">
                  <c:v>-1.5385456063275356E-3</c:v>
                </c:pt>
                <c:pt idx="9">
                  <c:v>-1.5975857175567765E-3</c:v>
                </c:pt>
                <c:pt idx="10">
                  <c:v>-1.8000089560570309E-3</c:v>
                </c:pt>
                <c:pt idx="11">
                  <c:v>-2.3482385603285534E-3</c:v>
                </c:pt>
                <c:pt idx="12">
                  <c:v>-5.2159011057488214E-3</c:v>
                </c:pt>
                <c:pt idx="13">
                  <c:v>-5.2918098201864168E-3</c:v>
                </c:pt>
                <c:pt idx="14">
                  <c:v>-1.2444097580528724E-2</c:v>
                </c:pt>
                <c:pt idx="15">
                  <c:v>-1.2646520819028978E-2</c:v>
                </c:pt>
                <c:pt idx="16">
                  <c:v>-1.6129887381554187E-2</c:v>
                </c:pt>
                <c:pt idx="17">
                  <c:v>-1.8398714513077868E-2</c:v>
                </c:pt>
                <c:pt idx="18">
                  <c:v>-1.8938509815745214E-2</c:v>
                </c:pt>
                <c:pt idx="19">
                  <c:v>-1.9199973165474706E-2</c:v>
                </c:pt>
                <c:pt idx="20">
                  <c:v>-1.9537345229641796E-2</c:v>
                </c:pt>
                <c:pt idx="21">
                  <c:v>-2.2953237379333587E-2</c:v>
                </c:pt>
                <c:pt idx="22">
                  <c:v>-9.6770245019092913E-2</c:v>
                </c:pt>
                <c:pt idx="23">
                  <c:v>-0.10720347610346018</c:v>
                </c:pt>
                <c:pt idx="24">
                  <c:v>-0.12031038079635162</c:v>
                </c:pt>
                <c:pt idx="25">
                  <c:v>-0.12031038079635162</c:v>
                </c:pt>
                <c:pt idx="26">
                  <c:v>-0.12446005718560682</c:v>
                </c:pt>
                <c:pt idx="27">
                  <c:v>-0.12446005718560682</c:v>
                </c:pt>
                <c:pt idx="28">
                  <c:v>-0.12520227572677442</c:v>
                </c:pt>
                <c:pt idx="29">
                  <c:v>-0.12520227572677442</c:v>
                </c:pt>
                <c:pt idx="30">
                  <c:v>-0.14218895915758742</c:v>
                </c:pt>
                <c:pt idx="31">
                  <c:v>-0.14218895915758742</c:v>
                </c:pt>
                <c:pt idx="32">
                  <c:v>-0.14218895915758742</c:v>
                </c:pt>
                <c:pt idx="33">
                  <c:v>-0.16735691514445233</c:v>
                </c:pt>
                <c:pt idx="34">
                  <c:v>-0.17050290964281045</c:v>
                </c:pt>
                <c:pt idx="35">
                  <c:v>-0.17404531631656492</c:v>
                </c:pt>
                <c:pt idx="36">
                  <c:v>-0.17766363170475694</c:v>
                </c:pt>
                <c:pt idx="37">
                  <c:v>-0.18474844505226584</c:v>
                </c:pt>
                <c:pt idx="38">
                  <c:v>-0.18474844505226584</c:v>
                </c:pt>
                <c:pt idx="39">
                  <c:v>-0.19465874943717412</c:v>
                </c:pt>
                <c:pt idx="40">
                  <c:v>-0.19479369826284096</c:v>
                </c:pt>
                <c:pt idx="41">
                  <c:v>-0.19505516161257044</c:v>
                </c:pt>
                <c:pt idx="42">
                  <c:v>-0.19874095141359591</c:v>
                </c:pt>
                <c:pt idx="43">
                  <c:v>-0.20181947149912061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48-4A15-B795-9372BBD54B1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-742</c:v>
                </c:pt>
                <c:pt idx="1">
                  <c:v>-99</c:v>
                </c:pt>
                <c:pt idx="2">
                  <c:v>0</c:v>
                </c:pt>
                <c:pt idx="3">
                  <c:v>0</c:v>
                </c:pt>
                <c:pt idx="4">
                  <c:v>55</c:v>
                </c:pt>
                <c:pt idx="5">
                  <c:v>290</c:v>
                </c:pt>
                <c:pt idx="6">
                  <c:v>544</c:v>
                </c:pt>
                <c:pt idx="7">
                  <c:v>718</c:v>
                </c:pt>
                <c:pt idx="8">
                  <c:v>1539.5</c:v>
                </c:pt>
                <c:pt idx="9">
                  <c:v>1543</c:v>
                </c:pt>
                <c:pt idx="10">
                  <c:v>1555</c:v>
                </c:pt>
                <c:pt idx="11">
                  <c:v>1587.5</c:v>
                </c:pt>
                <c:pt idx="12">
                  <c:v>1757.5</c:v>
                </c:pt>
                <c:pt idx="13">
                  <c:v>1762</c:v>
                </c:pt>
                <c:pt idx="14">
                  <c:v>2186</c:v>
                </c:pt>
                <c:pt idx="15">
                  <c:v>2198</c:v>
                </c:pt>
                <c:pt idx="16">
                  <c:v>2404.5</c:v>
                </c:pt>
                <c:pt idx="17">
                  <c:v>2539</c:v>
                </c:pt>
                <c:pt idx="18">
                  <c:v>2571</c:v>
                </c:pt>
                <c:pt idx="19">
                  <c:v>2586.5</c:v>
                </c:pt>
                <c:pt idx="20">
                  <c:v>2606.5</c:v>
                </c:pt>
                <c:pt idx="21">
                  <c:v>2809</c:v>
                </c:pt>
                <c:pt idx="22">
                  <c:v>7185</c:v>
                </c:pt>
                <c:pt idx="23">
                  <c:v>7803.5</c:v>
                </c:pt>
                <c:pt idx="24">
                  <c:v>8580.5</c:v>
                </c:pt>
                <c:pt idx="25">
                  <c:v>8580.5</c:v>
                </c:pt>
                <c:pt idx="26">
                  <c:v>8826.5</c:v>
                </c:pt>
                <c:pt idx="27">
                  <c:v>8826.5</c:v>
                </c:pt>
                <c:pt idx="28">
                  <c:v>8870.5</c:v>
                </c:pt>
                <c:pt idx="29">
                  <c:v>8870.5</c:v>
                </c:pt>
                <c:pt idx="30">
                  <c:v>9877.5</c:v>
                </c:pt>
                <c:pt idx="31">
                  <c:v>9877.5</c:v>
                </c:pt>
                <c:pt idx="32">
                  <c:v>9877.5</c:v>
                </c:pt>
                <c:pt idx="33">
                  <c:v>11369.5</c:v>
                </c:pt>
                <c:pt idx="34">
                  <c:v>11556</c:v>
                </c:pt>
                <c:pt idx="35">
                  <c:v>11766</c:v>
                </c:pt>
                <c:pt idx="36">
                  <c:v>11980.5</c:v>
                </c:pt>
                <c:pt idx="37">
                  <c:v>12400.5</c:v>
                </c:pt>
                <c:pt idx="38">
                  <c:v>12400.5</c:v>
                </c:pt>
                <c:pt idx="39">
                  <c:v>12988</c:v>
                </c:pt>
                <c:pt idx="40">
                  <c:v>12996</c:v>
                </c:pt>
                <c:pt idx="41">
                  <c:v>13011.5</c:v>
                </c:pt>
                <c:pt idx="42">
                  <c:v>13230</c:v>
                </c:pt>
                <c:pt idx="43">
                  <c:v>13412.5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2">
                  <c:v>-1.6160000006493647E-2</c:v>
                </c:pt>
                <c:pt idx="23">
                  <c:v>-5.8576000003085937E-2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48-4A15-B795-9372BBD54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830552"/>
        <c:axId val="1"/>
      </c:scatterChart>
      <c:valAx>
        <c:axId val="661830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830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51612903225807"/>
          <c:y val="0.92000129214617399"/>
          <c:w val="0.7612903225806451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19050</xdr:rowOff>
    </xdr:from>
    <xdr:to>
      <xdr:col>16</xdr:col>
      <xdr:colOff>276225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AC38E8F-2C84-99FF-B6BF-FF400E81C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32" TargetMode="External"/><Relationship Id="rId13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bav-astro.de/sfs/BAVM_link.php?BAVMnr=62" TargetMode="External"/><Relationship Id="rId7" Type="http://schemas.openxmlformats.org/officeDocument/2006/relationships/hyperlink" Target="http://www.bav-astro.de/sfs/BAVM_link.php?BAVMnr=80" TargetMode="External"/><Relationship Id="rId12" Type="http://schemas.openxmlformats.org/officeDocument/2006/relationships/hyperlink" Target="http://www.bav-astro.de/sfs/BAVM_link.php?BAVMnr=203" TargetMode="External"/><Relationship Id="rId1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62" TargetMode="External"/><Relationship Id="rId16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www.bav-astro.de/sfs/BAVM_link.php?BAVMnr=60" TargetMode="External"/><Relationship Id="rId6" Type="http://schemas.openxmlformats.org/officeDocument/2006/relationships/hyperlink" Target="http://www.bav-astro.de/sfs/BAVM_link.php?BAVMnr=80" TargetMode="External"/><Relationship Id="rId11" Type="http://schemas.openxmlformats.org/officeDocument/2006/relationships/hyperlink" Target="http://var.astro.cz/oejv/issues/oejv0094.pdf" TargetMode="External"/><Relationship Id="rId5" Type="http://schemas.openxmlformats.org/officeDocument/2006/relationships/hyperlink" Target="http://www.bav-astro.de/sfs/BAVM_link.php?BAVMnr=80" TargetMode="External"/><Relationship Id="rId15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183" TargetMode="External"/><Relationship Id="rId4" Type="http://schemas.openxmlformats.org/officeDocument/2006/relationships/hyperlink" Target="http://www.bav-astro.de/sfs/BAVM_link.php?BAVMnr=80" TargetMode="External"/><Relationship Id="rId9" Type="http://schemas.openxmlformats.org/officeDocument/2006/relationships/hyperlink" Target="http://www.bav-astro.de/sfs/BAVM_link.php?BAVMnr=132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1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9.28515625" customWidth="1"/>
    <col min="16" max="16" width="7.7109375" customWidth="1"/>
    <col min="17" max="17" width="9.85546875" customWidth="1"/>
  </cols>
  <sheetData>
    <row r="1" spans="1:6" ht="20.25">
      <c r="A1" s="1" t="s">
        <v>213</v>
      </c>
    </row>
    <row r="2" spans="1:6">
      <c r="A2" t="s">
        <v>25</v>
      </c>
      <c r="B2" s="10" t="s">
        <v>34</v>
      </c>
    </row>
    <row r="4" spans="1:6" ht="14.25" thickTop="1" thickBot="1">
      <c r="A4" s="7" t="s">
        <v>1</v>
      </c>
      <c r="C4" s="3">
        <v>34119.427000000003</v>
      </c>
      <c r="D4" s="4">
        <v>1.7479359999999999</v>
      </c>
    </row>
    <row r="5" spans="1:6" ht="13.5" thickTop="1">
      <c r="A5" s="12" t="s">
        <v>35</v>
      </c>
      <c r="B5" s="13"/>
      <c r="C5" s="14">
        <v>-9.5</v>
      </c>
      <c r="D5" s="13" t="s">
        <v>36</v>
      </c>
    </row>
    <row r="6" spans="1:6">
      <c r="A6" s="7" t="s">
        <v>2</v>
      </c>
    </row>
    <row r="7" spans="1:6">
      <c r="A7" t="s">
        <v>3</v>
      </c>
      <c r="C7">
        <f>+C4</f>
        <v>34119.427000000003</v>
      </c>
    </row>
    <row r="8" spans="1:6">
      <c r="A8" t="s">
        <v>4</v>
      </c>
      <c r="C8">
        <f>+D4</f>
        <v>1.7479359999999999</v>
      </c>
    </row>
    <row r="9" spans="1:6">
      <c r="A9" s="28" t="s">
        <v>43</v>
      </c>
      <c r="B9" s="29">
        <v>45</v>
      </c>
      <c r="C9" s="27" t="str">
        <f>"F"&amp;B9</f>
        <v>F45</v>
      </c>
      <c r="D9" s="25" t="str">
        <f>"G"&amp;B9</f>
        <v>G45</v>
      </c>
    </row>
    <row r="10" spans="1:6" ht="13.5" thickBot="1">
      <c r="A10" s="13"/>
      <c r="B10" s="13"/>
      <c r="C10" s="6" t="s">
        <v>21</v>
      </c>
      <c r="D10" s="6" t="s">
        <v>22</v>
      </c>
      <c r="E10" s="13"/>
    </row>
    <row r="11" spans="1:6">
      <c r="A11" s="13" t="s">
        <v>17</v>
      </c>
      <c r="B11" s="13"/>
      <c r="C11" s="26">
        <f ca="1">INTERCEPT(INDIRECT($D$9):G991,INDIRECT($C$9):F991)</f>
        <v>2.4430669032934227E-2</v>
      </c>
      <c r="D11" s="5"/>
      <c r="E11" s="13"/>
    </row>
    <row r="12" spans="1:6">
      <c r="A12" s="13" t="s">
        <v>18</v>
      </c>
      <c r="B12" s="13"/>
      <c r="C12" s="26">
        <f ca="1">SLOPE(INDIRECT($D$9):G991,INDIRECT($C$9):F991)</f>
        <v>-1.6868603208354507E-5</v>
      </c>
      <c r="D12" s="5"/>
      <c r="E12" s="13"/>
    </row>
    <row r="13" spans="1:6">
      <c r="A13" s="13" t="s">
        <v>20</v>
      </c>
      <c r="B13" s="13"/>
      <c r="C13" s="5" t="s">
        <v>15</v>
      </c>
    </row>
    <row r="14" spans="1:6">
      <c r="A14" s="13"/>
      <c r="B14" s="13"/>
      <c r="C14" s="13"/>
    </row>
    <row r="15" spans="1:6">
      <c r="A15" s="15" t="s">
        <v>19</v>
      </c>
      <c r="B15" s="13"/>
      <c r="C15" s="16">
        <f ca="1">(C7+C11)+(C8+C12)*INT(MAX(F21:F3532))</f>
        <v>57562.542820962808</v>
      </c>
      <c r="E15" s="17" t="s">
        <v>46</v>
      </c>
      <c r="F15" s="14">
        <v>1</v>
      </c>
    </row>
    <row r="16" spans="1:6">
      <c r="A16" s="19" t="s">
        <v>5</v>
      </c>
      <c r="B16" s="13"/>
      <c r="C16" s="20">
        <f ca="1">+C8+C12</f>
        <v>1.7479191313967917</v>
      </c>
      <c r="E16" s="17" t="s">
        <v>37</v>
      </c>
      <c r="F16" s="18">
        <f ca="1">NOW()+15018.5+$C$5/24</f>
        <v>60342.705149537032</v>
      </c>
    </row>
    <row r="17" spans="1:21" ht="13.5" thickBot="1">
      <c r="A17" s="17" t="s">
        <v>39</v>
      </c>
      <c r="B17" s="13"/>
      <c r="C17" s="13">
        <f>COUNT(C21:C2190)</f>
        <v>44</v>
      </c>
      <c r="E17" s="17" t="s">
        <v>47</v>
      </c>
      <c r="F17" s="18">
        <f ca="1">ROUND(2*(F16-$C$7)/$C$8,0)/2+F15</f>
        <v>15003.5</v>
      </c>
    </row>
    <row r="18" spans="1:21" ht="14.25" thickTop="1" thickBot="1">
      <c r="A18" s="19" t="s">
        <v>6</v>
      </c>
      <c r="B18" s="13"/>
      <c r="C18" s="22">
        <f ca="1">+C15</f>
        <v>57562.542820962808</v>
      </c>
      <c r="D18" s="23">
        <f ca="1">+C16</f>
        <v>1.7479191313967917</v>
      </c>
      <c r="E18" s="17" t="s">
        <v>38</v>
      </c>
      <c r="F18" s="25">
        <f ca="1">ROUND(2*(F16-$C$15)/$C$16,0)/2+F15</f>
        <v>1591.5</v>
      </c>
    </row>
    <row r="19" spans="1:21" ht="13.5" thickTop="1">
      <c r="E19" s="17" t="s">
        <v>40</v>
      </c>
      <c r="F19" s="21">
        <f ca="1">+$C$15+$C$16*F18-15018.5-$C$5/24</f>
        <v>45326.251951914135</v>
      </c>
    </row>
    <row r="20" spans="1:21" ht="13.5" thickBot="1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58</v>
      </c>
      <c r="I20" s="9" t="s">
        <v>61</v>
      </c>
      <c r="J20" s="9" t="s">
        <v>55</v>
      </c>
      <c r="K20" s="9" t="s">
        <v>53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16</v>
      </c>
      <c r="U20" s="52" t="s">
        <v>212</v>
      </c>
    </row>
    <row r="21" spans="1:21">
      <c r="A21" s="50" t="s">
        <v>67</v>
      </c>
      <c r="B21" s="51" t="s">
        <v>45</v>
      </c>
      <c r="C21" s="50">
        <v>32822.425000000003</v>
      </c>
      <c r="D21" s="50" t="s">
        <v>61</v>
      </c>
      <c r="E21">
        <f t="shared" ref="E21:E48" si="0">+(C21-C$7)/C$8</f>
        <v>-742.01915859619601</v>
      </c>
      <c r="F21">
        <f t="shared" ref="F21:F48" si="1">ROUND(2*E21,0)/2</f>
        <v>-742</v>
      </c>
      <c r="G21">
        <f t="shared" ref="G21:G42" si="2">+C21-(C$7+F21*C$8)</f>
        <v>-3.348800000094343E-2</v>
      </c>
      <c r="I21">
        <f>G21</f>
        <v>-3.348800000094343E-2</v>
      </c>
      <c r="O21">
        <f t="shared" ref="O21:O48" ca="1" si="3">+C$11+C$12*F21</f>
        <v>3.6947172613533273E-2</v>
      </c>
      <c r="Q21" s="2">
        <f t="shared" ref="Q21:Q48" si="4">+C21-15018.5</f>
        <v>17803.925000000003</v>
      </c>
    </row>
    <row r="22" spans="1:21">
      <c r="A22" s="50" t="s">
        <v>67</v>
      </c>
      <c r="B22" s="51" t="s">
        <v>45</v>
      </c>
      <c r="C22" s="50">
        <v>33946.383999999998</v>
      </c>
      <c r="D22" s="50" t="s">
        <v>61</v>
      </c>
      <c r="E22">
        <f t="shared" si="0"/>
        <v>-98.998475916741299</v>
      </c>
      <c r="F22">
        <f t="shared" si="1"/>
        <v>-99</v>
      </c>
      <c r="G22">
        <f t="shared" si="2"/>
        <v>2.6639999923645519E-3</v>
      </c>
      <c r="I22">
        <f>G22</f>
        <v>2.6639999923645519E-3</v>
      </c>
      <c r="O22">
        <f t="shared" ca="1" si="3"/>
        <v>2.6100660750561323E-2</v>
      </c>
      <c r="Q22" s="2">
        <f t="shared" si="4"/>
        <v>18927.883999999998</v>
      </c>
    </row>
    <row r="23" spans="1:21">
      <c r="A23" t="s">
        <v>13</v>
      </c>
      <c r="C23" s="11">
        <v>34119.427000000003</v>
      </c>
      <c r="D23" s="11" t="s">
        <v>15</v>
      </c>
      <c r="E23">
        <f t="shared" si="0"/>
        <v>0</v>
      </c>
      <c r="F23">
        <f t="shared" si="1"/>
        <v>0</v>
      </c>
      <c r="G23">
        <f t="shared" si="2"/>
        <v>0</v>
      </c>
      <c r="H23" s="25">
        <v>0</v>
      </c>
      <c r="O23">
        <f t="shared" ca="1" si="3"/>
        <v>2.4430669032934227E-2</v>
      </c>
      <c r="Q23" s="2">
        <f t="shared" si="4"/>
        <v>19100.927000000003</v>
      </c>
    </row>
    <row r="24" spans="1:21">
      <c r="A24" s="50" t="s">
        <v>67</v>
      </c>
      <c r="B24" s="51" t="s">
        <v>45</v>
      </c>
      <c r="C24" s="50">
        <v>34119.468999999997</v>
      </c>
      <c r="D24" s="50" t="s">
        <v>61</v>
      </c>
      <c r="E24">
        <f t="shared" si="0"/>
        <v>2.402833970694843E-2</v>
      </c>
      <c r="F24">
        <f t="shared" si="1"/>
        <v>0</v>
      </c>
      <c r="G24">
        <f t="shared" si="2"/>
        <v>4.1999999994004611E-2</v>
      </c>
      <c r="I24">
        <f t="shared" ref="I24:I42" si="5">G24</f>
        <v>4.1999999994004611E-2</v>
      </c>
      <c r="O24">
        <f t="shared" ca="1" si="3"/>
        <v>2.4430669032934227E-2</v>
      </c>
      <c r="Q24" s="2">
        <f t="shared" si="4"/>
        <v>19100.968999999997</v>
      </c>
    </row>
    <row r="25" spans="1:21">
      <c r="A25" s="50" t="s">
        <v>67</v>
      </c>
      <c r="B25" s="51" t="s">
        <v>45</v>
      </c>
      <c r="C25" s="50">
        <v>34215.53</v>
      </c>
      <c r="D25" s="50" t="s">
        <v>61</v>
      </c>
      <c r="E25">
        <f t="shared" si="0"/>
        <v>54.98084598062831</v>
      </c>
      <c r="F25">
        <f t="shared" si="1"/>
        <v>55</v>
      </c>
      <c r="G25">
        <f t="shared" si="2"/>
        <v>-3.3480000005511101E-2</v>
      </c>
      <c r="I25">
        <f t="shared" si="5"/>
        <v>-3.3480000005511101E-2</v>
      </c>
      <c r="O25">
        <f t="shared" ca="1" si="3"/>
        <v>2.3502895856474727E-2</v>
      </c>
      <c r="Q25" s="2">
        <f t="shared" si="4"/>
        <v>19197.03</v>
      </c>
    </row>
    <row r="26" spans="1:21">
      <c r="A26" s="50" t="s">
        <v>67</v>
      </c>
      <c r="B26" s="51" t="s">
        <v>45</v>
      </c>
      <c r="C26" s="50">
        <v>34626.338000000003</v>
      </c>
      <c r="D26" s="50" t="s">
        <v>61</v>
      </c>
      <c r="E26">
        <f t="shared" si="0"/>
        <v>290.00546930780081</v>
      </c>
      <c r="F26">
        <f t="shared" si="1"/>
        <v>290</v>
      </c>
      <c r="G26">
        <f t="shared" si="2"/>
        <v>9.5599999986006878E-3</v>
      </c>
      <c r="I26">
        <f t="shared" si="5"/>
        <v>9.5599999986006878E-3</v>
      </c>
      <c r="O26">
        <f t="shared" ca="1" si="3"/>
        <v>1.9538774102511418E-2</v>
      </c>
      <c r="Q26" s="2">
        <f t="shared" si="4"/>
        <v>19607.838000000003</v>
      </c>
    </row>
    <row r="27" spans="1:21">
      <c r="A27" s="50" t="s">
        <v>67</v>
      </c>
      <c r="B27" s="51" t="s">
        <v>45</v>
      </c>
      <c r="C27" s="50">
        <v>35070.332000000002</v>
      </c>
      <c r="D27" s="50" t="s">
        <v>61</v>
      </c>
      <c r="E27">
        <f t="shared" si="0"/>
        <v>544.0159136261276</v>
      </c>
      <c r="F27">
        <f t="shared" si="1"/>
        <v>544</v>
      </c>
      <c r="G27">
        <f t="shared" si="2"/>
        <v>2.7816000001621433E-2</v>
      </c>
      <c r="I27">
        <f t="shared" si="5"/>
        <v>2.7816000001621433E-2</v>
      </c>
      <c r="O27">
        <f t="shared" ca="1" si="3"/>
        <v>1.5254148887589376E-2</v>
      </c>
      <c r="Q27" s="2">
        <f t="shared" si="4"/>
        <v>20051.832000000002</v>
      </c>
    </row>
    <row r="28" spans="1:21">
      <c r="A28" s="50" t="s">
        <v>67</v>
      </c>
      <c r="B28" s="51" t="s">
        <v>45</v>
      </c>
      <c r="C28" s="50">
        <v>35374.423999999999</v>
      </c>
      <c r="D28" s="50" t="s">
        <v>61</v>
      </c>
      <c r="E28">
        <f t="shared" si="0"/>
        <v>717.98795836918271</v>
      </c>
      <c r="F28">
        <f t="shared" si="1"/>
        <v>718</v>
      </c>
      <c r="G28">
        <f t="shared" si="2"/>
        <v>-2.1048000002338085E-2</v>
      </c>
      <c r="I28">
        <f t="shared" si="5"/>
        <v>-2.1048000002338085E-2</v>
      </c>
      <c r="O28">
        <f t="shared" ca="1" si="3"/>
        <v>1.2319011929335691E-2</v>
      </c>
      <c r="Q28" s="2">
        <f t="shared" si="4"/>
        <v>20355.923999999999</v>
      </c>
    </row>
    <row r="29" spans="1:21">
      <c r="A29" s="50" t="s">
        <v>90</v>
      </c>
      <c r="B29" s="51" t="s">
        <v>42</v>
      </c>
      <c r="C29" s="50">
        <v>36810.343000000001</v>
      </c>
      <c r="D29" s="50" t="s">
        <v>61</v>
      </c>
      <c r="E29">
        <f t="shared" si="0"/>
        <v>1539.481994764109</v>
      </c>
      <c r="F29">
        <f t="shared" si="1"/>
        <v>1539.5</v>
      </c>
      <c r="G29">
        <f t="shared" si="2"/>
        <v>-3.1472000002395362E-2</v>
      </c>
      <c r="I29">
        <f t="shared" si="5"/>
        <v>-3.1472000002395362E-2</v>
      </c>
      <c r="O29">
        <f t="shared" ca="1" si="3"/>
        <v>-1.5385456063275356E-3</v>
      </c>
      <c r="Q29" s="2">
        <f t="shared" si="4"/>
        <v>21791.843000000001</v>
      </c>
    </row>
    <row r="30" spans="1:21">
      <c r="A30" s="50" t="s">
        <v>67</v>
      </c>
      <c r="B30" s="51" t="s">
        <v>45</v>
      </c>
      <c r="C30" s="50">
        <v>36816.493000000002</v>
      </c>
      <c r="D30" s="50" t="s">
        <v>61</v>
      </c>
      <c r="E30">
        <f t="shared" si="0"/>
        <v>1543.000430221701</v>
      </c>
      <c r="F30">
        <f t="shared" si="1"/>
        <v>1543</v>
      </c>
      <c r="G30">
        <f t="shared" si="2"/>
        <v>7.5199999992037192E-4</v>
      </c>
      <c r="I30">
        <f t="shared" si="5"/>
        <v>7.5199999992037192E-4</v>
      </c>
      <c r="O30">
        <f t="shared" ca="1" si="3"/>
        <v>-1.5975857175567765E-3</v>
      </c>
      <c r="Q30" s="2">
        <f t="shared" si="4"/>
        <v>21797.993000000002</v>
      </c>
    </row>
    <row r="31" spans="1:21">
      <c r="A31" s="50" t="s">
        <v>90</v>
      </c>
      <c r="B31" s="51" t="s">
        <v>45</v>
      </c>
      <c r="C31" s="50">
        <v>36837.432999999997</v>
      </c>
      <c r="D31" s="50" t="s">
        <v>61</v>
      </c>
      <c r="E31">
        <f t="shared" si="0"/>
        <v>1554.980273877301</v>
      </c>
      <c r="F31">
        <f t="shared" si="1"/>
        <v>1555</v>
      </c>
      <c r="G31">
        <f t="shared" si="2"/>
        <v>-3.4480000009352807E-2</v>
      </c>
      <c r="I31">
        <f t="shared" si="5"/>
        <v>-3.4480000009352807E-2</v>
      </c>
      <c r="O31">
        <f t="shared" ca="1" si="3"/>
        <v>-1.8000089560570309E-3</v>
      </c>
      <c r="Q31" s="2">
        <f t="shared" si="4"/>
        <v>21818.932999999997</v>
      </c>
    </row>
    <row r="32" spans="1:21">
      <c r="A32" s="50" t="s">
        <v>90</v>
      </c>
      <c r="B32" s="51" t="s">
        <v>42</v>
      </c>
      <c r="C32" s="50">
        <v>36894.284</v>
      </c>
      <c r="D32" s="50" t="s">
        <v>61</v>
      </c>
      <c r="E32">
        <f t="shared" si="0"/>
        <v>1587.5049200886053</v>
      </c>
      <c r="F32">
        <f t="shared" si="1"/>
        <v>1587.5</v>
      </c>
      <c r="G32">
        <f t="shared" si="2"/>
        <v>8.5999999937484972E-3</v>
      </c>
      <c r="I32">
        <f t="shared" si="5"/>
        <v>8.5999999937484972E-3</v>
      </c>
      <c r="O32">
        <f t="shared" ca="1" si="3"/>
        <v>-2.3482385603285534E-3</v>
      </c>
      <c r="Q32" s="2">
        <f t="shared" si="4"/>
        <v>21875.784</v>
      </c>
    </row>
    <row r="33" spans="1:32">
      <c r="A33" s="50" t="s">
        <v>90</v>
      </c>
      <c r="B33" s="51" t="s">
        <v>42</v>
      </c>
      <c r="C33" s="50">
        <v>37191.409</v>
      </c>
      <c r="D33" s="50" t="s">
        <v>61</v>
      </c>
      <c r="E33">
        <f t="shared" si="0"/>
        <v>1757.4911209563716</v>
      </c>
      <c r="F33">
        <f t="shared" si="1"/>
        <v>1757.5</v>
      </c>
      <c r="G33">
        <f t="shared" si="2"/>
        <v>-1.5520000000833534E-2</v>
      </c>
      <c r="I33">
        <f t="shared" si="5"/>
        <v>-1.5520000000833534E-2</v>
      </c>
      <c r="O33">
        <f t="shared" ca="1" si="3"/>
        <v>-5.2159011057488214E-3</v>
      </c>
      <c r="Q33" s="2">
        <f t="shared" si="4"/>
        <v>22172.909</v>
      </c>
    </row>
    <row r="34" spans="1:32">
      <c r="A34" s="50" t="s">
        <v>90</v>
      </c>
      <c r="B34" s="51" t="s">
        <v>45</v>
      </c>
      <c r="C34" s="50">
        <v>37199.315000000002</v>
      </c>
      <c r="D34" s="50" t="s">
        <v>61</v>
      </c>
      <c r="E34">
        <f t="shared" si="0"/>
        <v>1762.0141698551888</v>
      </c>
      <c r="F34">
        <f t="shared" si="1"/>
        <v>1762</v>
      </c>
      <c r="G34">
        <f t="shared" si="2"/>
        <v>2.476800000295043E-2</v>
      </c>
      <c r="I34">
        <f t="shared" si="5"/>
        <v>2.476800000295043E-2</v>
      </c>
      <c r="O34">
        <f t="shared" ca="1" si="3"/>
        <v>-5.2918098201864168E-3</v>
      </c>
      <c r="Q34" s="2">
        <f t="shared" si="4"/>
        <v>22180.815000000002</v>
      </c>
    </row>
    <row r="35" spans="1:32">
      <c r="A35" s="50" t="s">
        <v>90</v>
      </c>
      <c r="B35" s="51" t="s">
        <v>45</v>
      </c>
      <c r="C35" s="50">
        <v>37940.427000000003</v>
      </c>
      <c r="D35" s="50" t="s">
        <v>61</v>
      </c>
      <c r="E35">
        <f t="shared" si="0"/>
        <v>2186.0068103179979</v>
      </c>
      <c r="F35">
        <f t="shared" si="1"/>
        <v>2186</v>
      </c>
      <c r="G35">
        <f t="shared" si="2"/>
        <v>1.190399999904912E-2</v>
      </c>
      <c r="I35">
        <f t="shared" si="5"/>
        <v>1.190399999904912E-2</v>
      </c>
      <c r="O35">
        <f t="shared" ca="1" si="3"/>
        <v>-1.2444097580528724E-2</v>
      </c>
      <c r="Q35" s="2">
        <f t="shared" si="4"/>
        <v>22921.927000000003</v>
      </c>
    </row>
    <row r="36" spans="1:32">
      <c r="A36" s="50" t="s">
        <v>90</v>
      </c>
      <c r="B36" s="51" t="s">
        <v>45</v>
      </c>
      <c r="C36" s="50">
        <v>37961.364999999998</v>
      </c>
      <c r="D36" s="50" t="s">
        <v>61</v>
      </c>
      <c r="E36">
        <f t="shared" si="0"/>
        <v>2197.9855097669451</v>
      </c>
      <c r="F36">
        <f t="shared" si="1"/>
        <v>2198</v>
      </c>
      <c r="G36">
        <f t="shared" si="2"/>
        <v>-2.5328000003355555E-2</v>
      </c>
      <c r="I36">
        <f t="shared" si="5"/>
        <v>-2.5328000003355555E-2</v>
      </c>
      <c r="O36">
        <f t="shared" ca="1" si="3"/>
        <v>-1.2646520819028978E-2</v>
      </c>
      <c r="Q36" s="2">
        <f t="shared" si="4"/>
        <v>22942.864999999998</v>
      </c>
    </row>
    <row r="37" spans="1:32">
      <c r="A37" s="50" t="s">
        <v>90</v>
      </c>
      <c r="B37" s="51" t="s">
        <v>42</v>
      </c>
      <c r="C37" s="50">
        <v>38322.332000000002</v>
      </c>
      <c r="D37" s="50" t="s">
        <v>61</v>
      </c>
      <c r="E37">
        <f t="shared" si="0"/>
        <v>2404.495931201142</v>
      </c>
      <c r="F37">
        <f t="shared" si="1"/>
        <v>2404.5</v>
      </c>
      <c r="G37">
        <f t="shared" si="2"/>
        <v>-7.1119999993243255E-3</v>
      </c>
      <c r="I37">
        <f t="shared" si="5"/>
        <v>-7.1119999993243255E-3</v>
      </c>
      <c r="O37">
        <f t="shared" ca="1" si="3"/>
        <v>-1.6129887381554187E-2</v>
      </c>
      <c r="Q37" s="2">
        <f t="shared" si="4"/>
        <v>23303.832000000002</v>
      </c>
    </row>
    <row r="38" spans="1:32">
      <c r="A38" s="50" t="s">
        <v>90</v>
      </c>
      <c r="B38" s="51" t="s">
        <v>45</v>
      </c>
      <c r="C38" s="50">
        <v>38557.438999999998</v>
      </c>
      <c r="D38" s="50" t="s">
        <v>61</v>
      </c>
      <c r="E38">
        <f t="shared" si="0"/>
        <v>2539.0014279699003</v>
      </c>
      <c r="F38">
        <f t="shared" si="1"/>
        <v>2539</v>
      </c>
      <c r="G38">
        <f t="shared" si="2"/>
        <v>2.4959999936982058E-3</v>
      </c>
      <c r="I38">
        <f t="shared" si="5"/>
        <v>2.4959999936982058E-3</v>
      </c>
      <c r="O38">
        <f t="shared" ca="1" si="3"/>
        <v>-1.8398714513077868E-2</v>
      </c>
      <c r="Q38" s="2">
        <f t="shared" si="4"/>
        <v>23538.938999999998</v>
      </c>
    </row>
    <row r="39" spans="1:32">
      <c r="A39" s="50" t="s">
        <v>90</v>
      </c>
      <c r="B39" s="51" t="s">
        <v>45</v>
      </c>
      <c r="C39" s="50">
        <v>38613.421000000002</v>
      </c>
      <c r="D39" s="50" t="s">
        <v>61</v>
      </c>
      <c r="E39">
        <f t="shared" si="0"/>
        <v>2571.0289163905309</v>
      </c>
      <c r="F39">
        <f t="shared" si="1"/>
        <v>2571</v>
      </c>
      <c r="G39">
        <f t="shared" si="2"/>
        <v>5.0543999997898936E-2</v>
      </c>
      <c r="I39">
        <f t="shared" si="5"/>
        <v>5.0543999997898936E-2</v>
      </c>
      <c r="O39">
        <f t="shared" ca="1" si="3"/>
        <v>-1.8938509815745214E-2</v>
      </c>
      <c r="Q39" s="2">
        <f t="shared" si="4"/>
        <v>23594.921000000002</v>
      </c>
    </row>
    <row r="40" spans="1:32">
      <c r="A40" s="50" t="s">
        <v>90</v>
      </c>
      <c r="B40" s="51" t="s">
        <v>42</v>
      </c>
      <c r="C40" s="50">
        <v>38640.455999999998</v>
      </c>
      <c r="D40" s="50" t="s">
        <v>61</v>
      </c>
      <c r="E40">
        <f t="shared" si="0"/>
        <v>2586.4957298207687</v>
      </c>
      <c r="F40">
        <f t="shared" si="1"/>
        <v>2586.5</v>
      </c>
      <c r="G40">
        <f t="shared" si="2"/>
        <v>-7.4640000020735897E-3</v>
      </c>
      <c r="I40">
        <f t="shared" si="5"/>
        <v>-7.4640000020735897E-3</v>
      </c>
      <c r="O40">
        <f t="shared" ca="1" si="3"/>
        <v>-1.9199973165474706E-2</v>
      </c>
      <c r="Q40" s="2">
        <f t="shared" si="4"/>
        <v>23621.955999999998</v>
      </c>
    </row>
    <row r="41" spans="1:32">
      <c r="A41" s="50" t="s">
        <v>90</v>
      </c>
      <c r="B41" s="51" t="s">
        <v>42</v>
      </c>
      <c r="C41" s="50">
        <v>38675.394999999997</v>
      </c>
      <c r="D41" s="50" t="s">
        <v>61</v>
      </c>
      <c r="E41">
        <f t="shared" si="0"/>
        <v>2606.4844479431704</v>
      </c>
      <c r="F41">
        <f t="shared" si="1"/>
        <v>2606.5</v>
      </c>
      <c r="G41">
        <f t="shared" si="2"/>
        <v>-2.7184000005945563E-2</v>
      </c>
      <c r="I41">
        <f t="shared" si="5"/>
        <v>-2.7184000005945563E-2</v>
      </c>
      <c r="O41">
        <f t="shared" ca="1" si="3"/>
        <v>-1.9537345229641796E-2</v>
      </c>
      <c r="Q41" s="2">
        <f t="shared" si="4"/>
        <v>23656.894999999997</v>
      </c>
    </row>
    <row r="42" spans="1:32">
      <c r="A42" s="50" t="s">
        <v>90</v>
      </c>
      <c r="B42" s="51" t="s">
        <v>45</v>
      </c>
      <c r="C42" s="50">
        <v>39029.370000000003</v>
      </c>
      <c r="D42" s="50" t="s">
        <v>61</v>
      </c>
      <c r="E42">
        <f t="shared" si="0"/>
        <v>2808.9947229189165</v>
      </c>
      <c r="F42">
        <f t="shared" si="1"/>
        <v>2809</v>
      </c>
      <c r="G42">
        <f t="shared" si="2"/>
        <v>-9.2240000012679957E-3</v>
      </c>
      <c r="I42">
        <f t="shared" si="5"/>
        <v>-9.2240000012679957E-3</v>
      </c>
      <c r="O42">
        <f t="shared" ca="1" si="3"/>
        <v>-2.2953237379333587E-2</v>
      </c>
      <c r="Q42" s="2">
        <f t="shared" si="4"/>
        <v>24010.870000000003</v>
      </c>
    </row>
    <row r="43" spans="1:32">
      <c r="A43" t="s">
        <v>30</v>
      </c>
      <c r="C43" s="11">
        <v>46678.330999999998</v>
      </c>
      <c r="D43" s="11"/>
      <c r="E43">
        <f t="shared" si="0"/>
        <v>7184.9907548102419</v>
      </c>
      <c r="F43">
        <f t="shared" si="1"/>
        <v>7185</v>
      </c>
      <c r="O43">
        <f t="shared" ca="1" si="3"/>
        <v>-9.6770245019092913E-2</v>
      </c>
      <c r="Q43" s="2">
        <f t="shared" si="4"/>
        <v>31659.830999999998</v>
      </c>
      <c r="U43">
        <f>+C43-(C$7+F43*C$8)</f>
        <v>-1.6160000006493647E-2</v>
      </c>
      <c r="AA43" s="5">
        <v>5</v>
      </c>
      <c r="AB43" t="s">
        <v>29</v>
      </c>
      <c r="AD43" t="s">
        <v>31</v>
      </c>
      <c r="AF43" t="str">
        <f>+AD43</f>
        <v>B</v>
      </c>
    </row>
    <row r="44" spans="1:32">
      <c r="A44" s="50" t="s">
        <v>139</v>
      </c>
      <c r="B44" s="51" t="s">
        <v>42</v>
      </c>
      <c r="C44" s="50">
        <v>47759.387000000002</v>
      </c>
      <c r="D44" s="50" t="s">
        <v>61</v>
      </c>
      <c r="E44">
        <f t="shared" si="0"/>
        <v>7803.4664884755502</v>
      </c>
      <c r="F44">
        <f t="shared" si="1"/>
        <v>7803.5</v>
      </c>
      <c r="O44">
        <f t="shared" ca="1" si="3"/>
        <v>-0.10720347610346018</v>
      </c>
      <c r="Q44" s="2">
        <f t="shared" si="4"/>
        <v>32740.887000000002</v>
      </c>
      <c r="U44">
        <f>+C44-(C$7+F44*C$8)</f>
        <v>-5.8576000003085937E-2</v>
      </c>
    </row>
    <row r="45" spans="1:32">
      <c r="A45" s="50" t="s">
        <v>145</v>
      </c>
      <c r="B45" s="51" t="s">
        <v>42</v>
      </c>
      <c r="C45" s="50">
        <v>49117.4686</v>
      </c>
      <c r="D45" s="50" t="s">
        <v>61</v>
      </c>
      <c r="E45">
        <f t="shared" si="0"/>
        <v>8580.4294894092218</v>
      </c>
      <c r="F45">
        <f t="shared" si="1"/>
        <v>8580.5</v>
      </c>
      <c r="G45">
        <f t="shared" ref="G45:G64" si="6">+C45-(C$7+F45*C$8)</f>
        <v>-0.12324800000351388</v>
      </c>
      <c r="K45">
        <f>G45</f>
        <v>-0.12324800000351388</v>
      </c>
      <c r="O45">
        <f t="shared" ca="1" si="3"/>
        <v>-0.12031038079635162</v>
      </c>
      <c r="Q45" s="2">
        <f t="shared" si="4"/>
        <v>34098.9686</v>
      </c>
    </row>
    <row r="46" spans="1:32">
      <c r="A46" s="50" t="s">
        <v>145</v>
      </c>
      <c r="B46" s="51" t="s">
        <v>42</v>
      </c>
      <c r="C46" s="50">
        <v>49117.469299999997</v>
      </c>
      <c r="D46" s="50" t="s">
        <v>61</v>
      </c>
      <c r="E46">
        <f t="shared" si="0"/>
        <v>8580.4298898815487</v>
      </c>
      <c r="F46">
        <f t="shared" si="1"/>
        <v>8580.5</v>
      </c>
      <c r="G46">
        <f t="shared" si="6"/>
        <v>-0.12254800000664545</v>
      </c>
      <c r="K46">
        <f>G46</f>
        <v>-0.12254800000664545</v>
      </c>
      <c r="O46">
        <f t="shared" ca="1" si="3"/>
        <v>-0.12031038079635162</v>
      </c>
      <c r="Q46" s="2">
        <f t="shared" si="4"/>
        <v>34098.969299999997</v>
      </c>
    </row>
    <row r="47" spans="1:32">
      <c r="A47" t="s">
        <v>33</v>
      </c>
      <c r="C47" s="11">
        <v>49547.450599999996</v>
      </c>
      <c r="D47" s="11">
        <v>1.4E-3</v>
      </c>
      <c r="E47">
        <f t="shared" si="0"/>
        <v>8826.4236219175036</v>
      </c>
      <c r="F47">
        <f t="shared" si="1"/>
        <v>8826.5</v>
      </c>
      <c r="G47">
        <f t="shared" si="6"/>
        <v>-0.13350400000490481</v>
      </c>
      <c r="J47">
        <f>G47</f>
        <v>-0.13350400000490481</v>
      </c>
      <c r="O47">
        <f t="shared" ca="1" si="3"/>
        <v>-0.12446005718560682</v>
      </c>
      <c r="Q47" s="2">
        <f t="shared" si="4"/>
        <v>34528.950599999996</v>
      </c>
    </row>
    <row r="48" spans="1:32">
      <c r="A48" t="s">
        <v>33</v>
      </c>
      <c r="C48" s="11">
        <v>49547.453000000001</v>
      </c>
      <c r="D48" s="11">
        <v>1.5E-3</v>
      </c>
      <c r="E48">
        <f t="shared" si="0"/>
        <v>8826.4249949654895</v>
      </c>
      <c r="F48">
        <f t="shared" si="1"/>
        <v>8826.5</v>
      </c>
      <c r="G48">
        <f t="shared" si="6"/>
        <v>-0.13110400000005029</v>
      </c>
      <c r="J48">
        <f>G48</f>
        <v>-0.13110400000005029</v>
      </c>
      <c r="O48">
        <f t="shared" ca="1" si="3"/>
        <v>-0.12446005718560682</v>
      </c>
      <c r="Q48" s="2">
        <f t="shared" si="4"/>
        <v>34528.953000000001</v>
      </c>
    </row>
    <row r="49" spans="1:17">
      <c r="A49" t="s">
        <v>33</v>
      </c>
      <c r="C49" s="11">
        <v>49624.364000000001</v>
      </c>
      <c r="D49" s="11">
        <v>3.0000000000000001E-3</v>
      </c>
      <c r="E49">
        <f t="shared" ref="E49:E64" si="7">+(C49-C$7)/C$8</f>
        <v>8870.4260339051307</v>
      </c>
      <c r="F49">
        <f t="shared" ref="F49:F64" si="8">ROUND(2*E49,0)/2</f>
        <v>8870.5</v>
      </c>
      <c r="G49">
        <f t="shared" si="6"/>
        <v>-0.12928800000372576</v>
      </c>
      <c r="J49">
        <f>G49</f>
        <v>-0.12928800000372576</v>
      </c>
      <c r="O49">
        <f t="shared" ref="O49:O64" ca="1" si="9">+C$11+C$12*F49</f>
        <v>-0.12520227572677442</v>
      </c>
      <c r="Q49" s="2">
        <f t="shared" ref="Q49:Q64" si="10">+C49-15018.5</f>
        <v>34605.864000000001</v>
      </c>
    </row>
    <row r="50" spans="1:17">
      <c r="A50" t="s">
        <v>33</v>
      </c>
      <c r="C50" s="11">
        <v>49624.368000000002</v>
      </c>
      <c r="D50" s="11">
        <v>3.0000000000000001E-3</v>
      </c>
      <c r="E50">
        <f t="shared" si="7"/>
        <v>8870.4283223184375</v>
      </c>
      <c r="F50">
        <f t="shared" si="8"/>
        <v>8870.5</v>
      </c>
      <c r="G50">
        <f t="shared" si="6"/>
        <v>-0.12528800000291085</v>
      </c>
      <c r="J50">
        <f>G50</f>
        <v>-0.12528800000291085</v>
      </c>
      <c r="O50">
        <f t="shared" ca="1" si="9"/>
        <v>-0.12520227572677442</v>
      </c>
      <c r="Q50" s="2">
        <f t="shared" si="10"/>
        <v>34605.868000000002</v>
      </c>
    </row>
    <row r="51" spans="1:17">
      <c r="A51" s="50" t="s">
        <v>166</v>
      </c>
      <c r="B51" s="51" t="s">
        <v>42</v>
      </c>
      <c r="C51" s="50">
        <v>51384.533000000003</v>
      </c>
      <c r="D51" s="50" t="s">
        <v>61</v>
      </c>
      <c r="E51">
        <f t="shared" si="7"/>
        <v>9877.4245738974423</v>
      </c>
      <c r="F51">
        <f t="shared" si="8"/>
        <v>9877.5</v>
      </c>
      <c r="G51">
        <f t="shared" si="6"/>
        <v>-0.13183999999455409</v>
      </c>
      <c r="I51">
        <f>G51</f>
        <v>-0.13183999999455409</v>
      </c>
      <c r="O51">
        <f t="shared" ca="1" si="9"/>
        <v>-0.14218895915758742</v>
      </c>
      <c r="Q51" s="2">
        <f t="shared" si="10"/>
        <v>36366.033000000003</v>
      </c>
    </row>
    <row r="52" spans="1:17">
      <c r="A52" t="s">
        <v>32</v>
      </c>
      <c r="C52" s="11">
        <v>51384.535000000003</v>
      </c>
      <c r="D52" s="11">
        <v>3.0000000000000001E-3</v>
      </c>
      <c r="E52">
        <f t="shared" si="7"/>
        <v>9877.4257181040957</v>
      </c>
      <c r="F52">
        <f t="shared" si="8"/>
        <v>9877.5</v>
      </c>
      <c r="G52">
        <f t="shared" si="6"/>
        <v>-0.12983999999414664</v>
      </c>
      <c r="J52">
        <f>G52</f>
        <v>-0.12983999999414664</v>
      </c>
      <c r="O52">
        <f t="shared" ca="1" si="9"/>
        <v>-0.14218895915758742</v>
      </c>
      <c r="Q52" s="2">
        <f t="shared" si="10"/>
        <v>36366.035000000003</v>
      </c>
    </row>
    <row r="53" spans="1:17">
      <c r="A53" s="50" t="s">
        <v>166</v>
      </c>
      <c r="B53" s="51" t="s">
        <v>42</v>
      </c>
      <c r="C53" s="50">
        <v>51384.536999999997</v>
      </c>
      <c r="D53" s="50" t="s">
        <v>61</v>
      </c>
      <c r="E53">
        <f t="shared" si="7"/>
        <v>9877.4268623107455</v>
      </c>
      <c r="F53">
        <f t="shared" si="8"/>
        <v>9877.5</v>
      </c>
      <c r="G53">
        <f t="shared" si="6"/>
        <v>-0.12784000000101514</v>
      </c>
      <c r="I53">
        <f>G53</f>
        <v>-0.12784000000101514</v>
      </c>
      <c r="O53">
        <f t="shared" ca="1" si="9"/>
        <v>-0.14218895915758742</v>
      </c>
      <c r="Q53" s="2">
        <f t="shared" si="10"/>
        <v>36366.036999999997</v>
      </c>
    </row>
    <row r="54" spans="1:17">
      <c r="A54" s="24" t="s">
        <v>41</v>
      </c>
      <c r="B54" s="5" t="s">
        <v>42</v>
      </c>
      <c r="C54" s="11">
        <v>53992.407599999999</v>
      </c>
      <c r="D54" s="11">
        <v>4.3E-3</v>
      </c>
      <c r="E54">
        <f t="shared" si="7"/>
        <v>11369.398307489517</v>
      </c>
      <c r="F54">
        <f t="shared" si="8"/>
        <v>11369.5</v>
      </c>
      <c r="G54">
        <f t="shared" si="6"/>
        <v>-0.17775200000323821</v>
      </c>
      <c r="J54">
        <f>G54</f>
        <v>-0.17775200000323821</v>
      </c>
      <c r="O54">
        <f t="shared" ca="1" si="9"/>
        <v>-0.16735691514445233</v>
      </c>
      <c r="Q54" s="2">
        <f t="shared" si="10"/>
        <v>38973.907599999999</v>
      </c>
    </row>
    <row r="55" spans="1:17">
      <c r="A55" s="30" t="s">
        <v>44</v>
      </c>
      <c r="B55" s="31" t="s">
        <v>45</v>
      </c>
      <c r="C55" s="30">
        <v>54318.410609999999</v>
      </c>
      <c r="D55" s="30">
        <v>1.4E-3</v>
      </c>
      <c r="E55">
        <f t="shared" si="7"/>
        <v>11555.905713939181</v>
      </c>
      <c r="F55">
        <f t="shared" si="8"/>
        <v>11556</v>
      </c>
      <c r="G55">
        <f t="shared" si="6"/>
        <v>-0.16480600000795675</v>
      </c>
      <c r="K55">
        <f>G55</f>
        <v>-0.16480600000795675</v>
      </c>
      <c r="O55">
        <f t="shared" ca="1" si="9"/>
        <v>-0.17050290964281045</v>
      </c>
      <c r="Q55" s="2">
        <f t="shared" si="10"/>
        <v>39299.910609999999</v>
      </c>
    </row>
    <row r="56" spans="1:17">
      <c r="A56" s="50" t="s">
        <v>187</v>
      </c>
      <c r="B56" s="51" t="s">
        <v>45</v>
      </c>
      <c r="C56" s="50">
        <v>54685.465100000001</v>
      </c>
      <c r="D56" s="50" t="s">
        <v>61</v>
      </c>
      <c r="E56">
        <f t="shared" si="7"/>
        <v>11765.898808652033</v>
      </c>
      <c r="F56">
        <f t="shared" si="8"/>
        <v>11766</v>
      </c>
      <c r="G56">
        <f t="shared" si="6"/>
        <v>-0.17687599999771919</v>
      </c>
      <c r="K56">
        <f>G56</f>
        <v>-0.17687599999771919</v>
      </c>
      <c r="O56">
        <f t="shared" ca="1" si="9"/>
        <v>-0.17404531631656492</v>
      </c>
      <c r="Q56" s="2">
        <f t="shared" si="10"/>
        <v>39666.965100000001</v>
      </c>
    </row>
    <row r="57" spans="1:17">
      <c r="A57" s="53" t="s">
        <v>48</v>
      </c>
      <c r="B57" s="54" t="s">
        <v>42</v>
      </c>
      <c r="C57" s="55">
        <v>55060.396200000003</v>
      </c>
      <c r="D57" s="55">
        <v>2.9999999999999997E-4</v>
      </c>
      <c r="E57">
        <f t="shared" si="7"/>
        <v>11980.398138146935</v>
      </c>
      <c r="F57">
        <f t="shared" si="8"/>
        <v>11980.5</v>
      </c>
      <c r="G57">
        <f t="shared" si="6"/>
        <v>-0.17804800000158139</v>
      </c>
      <c r="K57">
        <f>G57</f>
        <v>-0.17804800000158139</v>
      </c>
      <c r="O57">
        <f t="shared" ca="1" si="9"/>
        <v>-0.17766363170475694</v>
      </c>
      <c r="Q57" s="2">
        <f t="shared" si="10"/>
        <v>40041.896200000003</v>
      </c>
    </row>
    <row r="58" spans="1:17">
      <c r="A58" s="50" t="s">
        <v>198</v>
      </c>
      <c r="B58" s="51" t="s">
        <v>42</v>
      </c>
      <c r="C58" s="50">
        <v>55794.522100000002</v>
      </c>
      <c r="D58" s="50" t="s">
        <v>61</v>
      </c>
      <c r="E58">
        <f t="shared" si="7"/>
        <v>12400.394007560917</v>
      </c>
      <c r="F58">
        <f t="shared" si="8"/>
        <v>12400.5</v>
      </c>
      <c r="G58">
        <f t="shared" si="6"/>
        <v>-0.18526800000108778</v>
      </c>
      <c r="K58">
        <f>G58</f>
        <v>-0.18526800000108778</v>
      </c>
      <c r="O58">
        <f t="shared" ca="1" si="9"/>
        <v>-0.18474844505226584</v>
      </c>
      <c r="Q58" s="2">
        <f t="shared" si="10"/>
        <v>40776.022100000002</v>
      </c>
    </row>
    <row r="59" spans="1:17">
      <c r="A59" s="50" t="s">
        <v>198</v>
      </c>
      <c r="B59" s="51" t="s">
        <v>42</v>
      </c>
      <c r="C59" s="50">
        <v>55794.528700000003</v>
      </c>
      <c r="D59" s="50" t="s">
        <v>61</v>
      </c>
      <c r="E59">
        <f t="shared" si="7"/>
        <v>12400.397783442872</v>
      </c>
      <c r="F59">
        <f t="shared" si="8"/>
        <v>12400.5</v>
      </c>
      <c r="G59">
        <f t="shared" si="6"/>
        <v>-0.17866800000047078</v>
      </c>
      <c r="K59">
        <f>G59</f>
        <v>-0.17866800000047078</v>
      </c>
      <c r="O59">
        <f t="shared" ca="1" si="9"/>
        <v>-0.18474844505226584</v>
      </c>
      <c r="Q59" s="2">
        <f t="shared" si="10"/>
        <v>40776.028700000003</v>
      </c>
    </row>
    <row r="60" spans="1:17">
      <c r="A60" s="32" t="s">
        <v>49</v>
      </c>
      <c r="B60" s="33" t="s">
        <v>45</v>
      </c>
      <c r="C60" s="32">
        <v>56821.420400000003</v>
      </c>
      <c r="D60" s="32">
        <v>1.1000000000000001E-3</v>
      </c>
      <c r="E60">
        <f t="shared" si="7"/>
        <v>12987.885940904014</v>
      </c>
      <c r="F60">
        <f t="shared" si="8"/>
        <v>12988</v>
      </c>
      <c r="G60">
        <f t="shared" si="6"/>
        <v>-0.19936800000141375</v>
      </c>
      <c r="J60">
        <f>G60</f>
        <v>-0.19936800000141375</v>
      </c>
      <c r="O60">
        <f t="shared" ca="1" si="9"/>
        <v>-0.19465874943717412</v>
      </c>
      <c r="Q60" s="2">
        <f t="shared" si="10"/>
        <v>41802.920400000003</v>
      </c>
    </row>
    <row r="61" spans="1:17">
      <c r="A61" s="34" t="s">
        <v>50</v>
      </c>
      <c r="B61" s="35" t="s">
        <v>45</v>
      </c>
      <c r="C61" s="36">
        <v>56835.409240000001</v>
      </c>
      <c r="D61" s="34">
        <v>8.0000000000000004E-4</v>
      </c>
      <c r="E61">
        <f t="shared" si="7"/>
        <v>12995.889002801017</v>
      </c>
      <c r="F61">
        <f t="shared" si="8"/>
        <v>12996</v>
      </c>
      <c r="G61">
        <f t="shared" si="6"/>
        <v>-0.19401600000128383</v>
      </c>
      <c r="K61">
        <f>G61</f>
        <v>-0.19401600000128383</v>
      </c>
      <c r="O61">
        <f t="shared" ca="1" si="9"/>
        <v>-0.19479369826284096</v>
      </c>
      <c r="Q61" s="2">
        <f t="shared" si="10"/>
        <v>41816.909240000001</v>
      </c>
    </row>
    <row r="62" spans="1:17">
      <c r="A62" s="32" t="s">
        <v>49</v>
      </c>
      <c r="B62" s="33" t="s">
        <v>45</v>
      </c>
      <c r="C62" s="32">
        <v>56862.495300000002</v>
      </c>
      <c r="D62" s="32">
        <v>8.3000000000000001E-3</v>
      </c>
      <c r="E62">
        <f t="shared" si="7"/>
        <v>13011.385027827106</v>
      </c>
      <c r="F62">
        <f t="shared" si="8"/>
        <v>13011.5</v>
      </c>
      <c r="G62">
        <f t="shared" si="6"/>
        <v>-0.20096399999601999</v>
      </c>
      <c r="J62">
        <f>G62</f>
        <v>-0.20096399999601999</v>
      </c>
      <c r="O62">
        <f t="shared" ca="1" si="9"/>
        <v>-0.19505516161257044</v>
      </c>
      <c r="Q62" s="2">
        <f t="shared" si="10"/>
        <v>41843.995300000002</v>
      </c>
    </row>
    <row r="63" spans="1:17">
      <c r="A63" s="56" t="s">
        <v>0</v>
      </c>
      <c r="B63" s="57" t="s">
        <v>45</v>
      </c>
      <c r="C63" s="58">
        <v>57244.417300000001</v>
      </c>
      <c r="D63" s="58">
        <v>1.49E-2</v>
      </c>
      <c r="E63">
        <f t="shared" si="7"/>
        <v>13229.883874466799</v>
      </c>
      <c r="F63">
        <f t="shared" si="8"/>
        <v>13230</v>
      </c>
      <c r="G63">
        <f t="shared" si="6"/>
        <v>-0.20298000000184402</v>
      </c>
      <c r="K63">
        <f>G63</f>
        <v>-0.20298000000184402</v>
      </c>
      <c r="O63">
        <f t="shared" ca="1" si="9"/>
        <v>-0.19874095141359591</v>
      </c>
      <c r="Q63" s="2">
        <f t="shared" si="10"/>
        <v>42225.917300000001</v>
      </c>
    </row>
    <row r="64" spans="1:17">
      <c r="A64" s="56" t="s">
        <v>0</v>
      </c>
      <c r="B64" s="57" t="s">
        <v>45</v>
      </c>
      <c r="C64" s="58">
        <v>57563.421199999997</v>
      </c>
      <c r="D64" s="58">
        <v>4.0000000000000002E-4</v>
      </c>
      <c r="E64">
        <f t="shared" si="7"/>
        <v>13412.387066803358</v>
      </c>
      <c r="F64">
        <f t="shared" si="8"/>
        <v>13412.5</v>
      </c>
      <c r="G64">
        <f t="shared" si="6"/>
        <v>-0.19740000000456348</v>
      </c>
      <c r="K64">
        <f>G64</f>
        <v>-0.19740000000456348</v>
      </c>
      <c r="O64">
        <f t="shared" ca="1" si="9"/>
        <v>-0.20181947149912061</v>
      </c>
      <c r="Q64" s="2">
        <f t="shared" si="10"/>
        <v>42544.921199999997</v>
      </c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  <row r="71" spans="2:2">
      <c r="B71" s="5"/>
    </row>
    <row r="72" spans="2:2">
      <c r="B72" s="5"/>
    </row>
    <row r="73" spans="2:2">
      <c r="B73" s="5"/>
    </row>
    <row r="74" spans="2:2">
      <c r="B74" s="5"/>
    </row>
    <row r="75" spans="2:2">
      <c r="B75" s="5"/>
    </row>
    <row r="76" spans="2:2">
      <c r="B76" s="5"/>
    </row>
    <row r="77" spans="2:2">
      <c r="B77" s="5"/>
    </row>
    <row r="78" spans="2:2">
      <c r="B78" s="5"/>
    </row>
    <row r="79" spans="2:2">
      <c r="B79" s="5"/>
    </row>
    <row r="80" spans="2:2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spans="2:2">
      <c r="B96" s="5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</sheetData>
  <phoneticPr fontId="0" type="noConversion"/>
  <hyperlinks>
    <hyperlink ref="H984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7"/>
  <sheetViews>
    <sheetView topLeftCell="A2" workbookViewId="0">
      <selection activeCell="A20" sqref="A20:D49"/>
    </sheetView>
  </sheetViews>
  <sheetFormatPr defaultRowHeight="12.75"/>
  <cols>
    <col min="1" max="1" width="19.7109375" style="11" customWidth="1"/>
    <col min="2" max="2" width="4.42578125" style="13" customWidth="1"/>
    <col min="3" max="3" width="12.7109375" style="11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1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37" t="s">
        <v>51</v>
      </c>
      <c r="I1" s="38" t="s">
        <v>52</v>
      </c>
      <c r="J1" s="39" t="s">
        <v>53</v>
      </c>
    </row>
    <row r="2" spans="1:16">
      <c r="I2" s="40" t="s">
        <v>54</v>
      </c>
      <c r="J2" s="41" t="s">
        <v>55</v>
      </c>
    </row>
    <row r="3" spans="1:16">
      <c r="A3" s="42" t="s">
        <v>56</v>
      </c>
      <c r="I3" s="40" t="s">
        <v>57</v>
      </c>
      <c r="J3" s="41" t="s">
        <v>58</v>
      </c>
    </row>
    <row r="4" spans="1:16">
      <c r="I4" s="40" t="s">
        <v>59</v>
      </c>
      <c r="J4" s="41" t="s">
        <v>58</v>
      </c>
    </row>
    <row r="5" spans="1:16" ht="13.5" thickBot="1">
      <c r="I5" s="43" t="s">
        <v>60</v>
      </c>
      <c r="J5" s="44" t="s">
        <v>61</v>
      </c>
    </row>
    <row r="10" spans="1:16" ht="13.5" thickBot="1"/>
    <row r="11" spans="1:16" ht="12.75" customHeight="1" thickBot="1">
      <c r="A11" s="11" t="str">
        <f t="shared" ref="A11:A49" si="0">P11</f>
        <v> BBS 81 </v>
      </c>
      <c r="B11" s="5" t="str">
        <f t="shared" ref="B11:B49" si="1">IF(H11=INT(H11),"I","II")</f>
        <v>I</v>
      </c>
      <c r="C11" s="11">
        <f t="shared" ref="C11:C49" si="2">1*G11</f>
        <v>46678.330999999998</v>
      </c>
      <c r="D11" s="13" t="str">
        <f t="shared" ref="D11:D49" si="3">VLOOKUP(F11,I$1:J$5,2,FALSE)</f>
        <v>vis</v>
      </c>
      <c r="E11" s="45">
        <f>VLOOKUP(C11,Active!C$21:E$972,3,FALSE)</f>
        <v>7184.9907548102419</v>
      </c>
      <c r="F11" s="5" t="s">
        <v>60</v>
      </c>
      <c r="G11" s="13" t="str">
        <f t="shared" ref="G11:G49" si="4">MID(I11,3,LEN(I11)-3)</f>
        <v>46678.331</v>
      </c>
      <c r="H11" s="11">
        <f t="shared" ref="H11:H49" si="5">1*K11</f>
        <v>7185</v>
      </c>
      <c r="I11" s="46" t="s">
        <v>129</v>
      </c>
      <c r="J11" s="47" t="s">
        <v>130</v>
      </c>
      <c r="K11" s="46">
        <v>7185</v>
      </c>
      <c r="L11" s="46" t="s">
        <v>102</v>
      </c>
      <c r="M11" s="47" t="s">
        <v>131</v>
      </c>
      <c r="N11" s="47" t="s">
        <v>132</v>
      </c>
      <c r="O11" s="48" t="s">
        <v>133</v>
      </c>
      <c r="P11" s="48" t="s">
        <v>134</v>
      </c>
    </row>
    <row r="12" spans="1:16" ht="12.75" customHeight="1" thickBot="1">
      <c r="A12" s="11" t="str">
        <f t="shared" si="0"/>
        <v>BAVM 80 </v>
      </c>
      <c r="B12" s="5" t="str">
        <f t="shared" si="1"/>
        <v>II</v>
      </c>
      <c r="C12" s="11">
        <f t="shared" si="2"/>
        <v>49547.450599999996</v>
      </c>
      <c r="D12" s="13" t="str">
        <f t="shared" si="3"/>
        <v>vis</v>
      </c>
      <c r="E12" s="45">
        <f>VLOOKUP(C12,Active!C$21:E$972,3,FALSE)</f>
        <v>8826.4236219175036</v>
      </c>
      <c r="F12" s="5" t="s">
        <v>60</v>
      </c>
      <c r="G12" s="13" t="str">
        <f t="shared" si="4"/>
        <v>49547.4506</v>
      </c>
      <c r="H12" s="11">
        <f t="shared" si="5"/>
        <v>8826.5</v>
      </c>
      <c r="I12" s="46" t="s">
        <v>150</v>
      </c>
      <c r="J12" s="47" t="s">
        <v>151</v>
      </c>
      <c r="K12" s="46">
        <v>8826.5</v>
      </c>
      <c r="L12" s="46" t="s">
        <v>152</v>
      </c>
      <c r="M12" s="47" t="s">
        <v>131</v>
      </c>
      <c r="N12" s="47" t="s">
        <v>31</v>
      </c>
      <c r="O12" s="48" t="s">
        <v>144</v>
      </c>
      <c r="P12" s="49" t="s">
        <v>153</v>
      </c>
    </row>
    <row r="13" spans="1:16" ht="12.75" customHeight="1" thickBot="1">
      <c r="A13" s="11" t="str">
        <f t="shared" si="0"/>
        <v>BAVM 80 </v>
      </c>
      <c r="B13" s="5" t="str">
        <f t="shared" si="1"/>
        <v>II</v>
      </c>
      <c r="C13" s="11">
        <f t="shared" si="2"/>
        <v>49547.453000000001</v>
      </c>
      <c r="D13" s="13" t="str">
        <f t="shared" si="3"/>
        <v>vis</v>
      </c>
      <c r="E13" s="45">
        <f>VLOOKUP(C13,Active!C$21:E$972,3,FALSE)</f>
        <v>8826.4249949654895</v>
      </c>
      <c r="F13" s="5" t="s">
        <v>60</v>
      </c>
      <c r="G13" s="13" t="str">
        <f t="shared" si="4"/>
        <v>49547.4530</v>
      </c>
      <c r="H13" s="11">
        <f t="shared" si="5"/>
        <v>8826.5</v>
      </c>
      <c r="I13" s="46" t="s">
        <v>154</v>
      </c>
      <c r="J13" s="47" t="s">
        <v>155</v>
      </c>
      <c r="K13" s="46">
        <v>8826.5</v>
      </c>
      <c r="L13" s="46" t="s">
        <v>156</v>
      </c>
      <c r="M13" s="47" t="s">
        <v>131</v>
      </c>
      <c r="N13" s="47" t="s">
        <v>149</v>
      </c>
      <c r="O13" s="48" t="s">
        <v>144</v>
      </c>
      <c r="P13" s="49" t="s">
        <v>153</v>
      </c>
    </row>
    <row r="14" spans="1:16" ht="12.75" customHeight="1" thickBot="1">
      <c r="A14" s="11" t="str">
        <f t="shared" si="0"/>
        <v>BAVM 80 </v>
      </c>
      <c r="B14" s="5" t="str">
        <f t="shared" si="1"/>
        <v>II</v>
      </c>
      <c r="C14" s="11">
        <f t="shared" si="2"/>
        <v>49624.364000000001</v>
      </c>
      <c r="D14" s="13" t="str">
        <f t="shared" si="3"/>
        <v>vis</v>
      </c>
      <c r="E14" s="45">
        <f>VLOOKUP(C14,Active!C$21:E$972,3,FALSE)</f>
        <v>8870.4260339051307</v>
      </c>
      <c r="F14" s="5" t="s">
        <v>60</v>
      </c>
      <c r="G14" s="13" t="str">
        <f t="shared" si="4"/>
        <v>49624.364</v>
      </c>
      <c r="H14" s="11">
        <f t="shared" si="5"/>
        <v>8870.5</v>
      </c>
      <c r="I14" s="46" t="s">
        <v>157</v>
      </c>
      <c r="J14" s="47" t="s">
        <v>158</v>
      </c>
      <c r="K14" s="46">
        <v>8870.5</v>
      </c>
      <c r="L14" s="46" t="s">
        <v>159</v>
      </c>
      <c r="M14" s="47" t="s">
        <v>131</v>
      </c>
      <c r="N14" s="47" t="s">
        <v>143</v>
      </c>
      <c r="O14" s="48" t="s">
        <v>144</v>
      </c>
      <c r="P14" s="49" t="s">
        <v>153</v>
      </c>
    </row>
    <row r="15" spans="1:16" ht="12.75" customHeight="1" thickBot="1">
      <c r="A15" s="11" t="str">
        <f t="shared" si="0"/>
        <v>BAVM 80 </v>
      </c>
      <c r="B15" s="5" t="str">
        <f t="shared" si="1"/>
        <v>II</v>
      </c>
      <c r="C15" s="11">
        <f t="shared" si="2"/>
        <v>49624.368000000002</v>
      </c>
      <c r="D15" s="13" t="str">
        <f t="shared" si="3"/>
        <v>vis</v>
      </c>
      <c r="E15" s="45">
        <f>VLOOKUP(C15,Active!C$21:E$972,3,FALSE)</f>
        <v>8870.4283223184375</v>
      </c>
      <c r="F15" s="5" t="s">
        <v>60</v>
      </c>
      <c r="G15" s="13" t="str">
        <f t="shared" si="4"/>
        <v>49624.368</v>
      </c>
      <c r="H15" s="11">
        <f t="shared" si="5"/>
        <v>8870.5</v>
      </c>
      <c r="I15" s="46" t="s">
        <v>160</v>
      </c>
      <c r="J15" s="47" t="s">
        <v>161</v>
      </c>
      <c r="K15" s="46">
        <v>8870.5</v>
      </c>
      <c r="L15" s="46" t="s">
        <v>162</v>
      </c>
      <c r="M15" s="47" t="s">
        <v>131</v>
      </c>
      <c r="N15" s="47" t="s">
        <v>149</v>
      </c>
      <c r="O15" s="48" t="s">
        <v>144</v>
      </c>
      <c r="P15" s="49" t="s">
        <v>153</v>
      </c>
    </row>
    <row r="16" spans="1:16" ht="12.75" customHeight="1" thickBot="1">
      <c r="A16" s="11" t="str">
        <f t="shared" si="0"/>
        <v>BAVM 183 </v>
      </c>
      <c r="B16" s="5" t="str">
        <f t="shared" si="1"/>
        <v>II</v>
      </c>
      <c r="C16" s="11">
        <f t="shared" si="2"/>
        <v>53992.407599999999</v>
      </c>
      <c r="D16" s="13" t="str">
        <f t="shared" si="3"/>
        <v>vis</v>
      </c>
      <c r="E16" s="45">
        <f>VLOOKUP(C16,Active!C$21:E$972,3,FALSE)</f>
        <v>11369.398307489517</v>
      </c>
      <c r="F16" s="5" t="s">
        <v>60</v>
      </c>
      <c r="G16" s="13" t="str">
        <f t="shared" si="4"/>
        <v>53992.4076</v>
      </c>
      <c r="H16" s="11">
        <f t="shared" si="5"/>
        <v>11369.5</v>
      </c>
      <c r="I16" s="46" t="s">
        <v>170</v>
      </c>
      <c r="J16" s="47" t="s">
        <v>171</v>
      </c>
      <c r="K16" s="46">
        <v>11369.5</v>
      </c>
      <c r="L16" s="46" t="s">
        <v>172</v>
      </c>
      <c r="M16" s="47" t="s">
        <v>173</v>
      </c>
      <c r="N16" s="47" t="s">
        <v>174</v>
      </c>
      <c r="O16" s="48" t="s">
        <v>175</v>
      </c>
      <c r="P16" s="49" t="s">
        <v>176</v>
      </c>
    </row>
    <row r="17" spans="1:16" ht="12.75" customHeight="1" thickBot="1">
      <c r="A17" s="11" t="str">
        <f t="shared" si="0"/>
        <v>OEJV 0137 </v>
      </c>
      <c r="B17" s="5" t="str">
        <f t="shared" si="1"/>
        <v>II</v>
      </c>
      <c r="C17" s="11">
        <f t="shared" si="2"/>
        <v>55060.396200000003</v>
      </c>
      <c r="D17" s="13" t="str">
        <f t="shared" si="3"/>
        <v>vis</v>
      </c>
      <c r="E17" s="45">
        <f>VLOOKUP(C17,Active!C$21:E$972,3,FALSE)</f>
        <v>11980.398138146935</v>
      </c>
      <c r="F17" s="5" t="s">
        <v>60</v>
      </c>
      <c r="G17" s="13" t="str">
        <f t="shared" si="4"/>
        <v>55060.3962</v>
      </c>
      <c r="H17" s="11">
        <f t="shared" si="5"/>
        <v>11980.5</v>
      </c>
      <c r="I17" s="46" t="s">
        <v>188</v>
      </c>
      <c r="J17" s="47" t="s">
        <v>189</v>
      </c>
      <c r="K17" s="46" t="s">
        <v>190</v>
      </c>
      <c r="L17" s="46" t="s">
        <v>191</v>
      </c>
      <c r="M17" s="47" t="s">
        <v>173</v>
      </c>
      <c r="N17" s="47" t="s">
        <v>52</v>
      </c>
      <c r="O17" s="48" t="s">
        <v>192</v>
      </c>
      <c r="P17" s="49" t="s">
        <v>193</v>
      </c>
    </row>
    <row r="18" spans="1:16" ht="12.75" customHeight="1" thickBot="1">
      <c r="A18" s="11" t="str">
        <f t="shared" si="0"/>
        <v>BAVM 238 </v>
      </c>
      <c r="B18" s="5" t="str">
        <f t="shared" si="1"/>
        <v>I</v>
      </c>
      <c r="C18" s="11">
        <f t="shared" si="2"/>
        <v>56821.420400000003</v>
      </c>
      <c r="D18" s="13" t="str">
        <f t="shared" si="3"/>
        <v>vis</v>
      </c>
      <c r="E18" s="45">
        <f>VLOOKUP(C18,Active!C$21:E$972,3,FALSE)</f>
        <v>12987.885940904014</v>
      </c>
      <c r="F18" s="5" t="s">
        <v>60</v>
      </c>
      <c r="G18" s="13" t="str">
        <f t="shared" si="4"/>
        <v>56821.4204</v>
      </c>
      <c r="H18" s="11">
        <f t="shared" si="5"/>
        <v>12988</v>
      </c>
      <c r="I18" s="46" t="s">
        <v>203</v>
      </c>
      <c r="J18" s="47" t="s">
        <v>204</v>
      </c>
      <c r="K18" s="46" t="s">
        <v>205</v>
      </c>
      <c r="L18" s="46" t="s">
        <v>206</v>
      </c>
      <c r="M18" s="47" t="s">
        <v>173</v>
      </c>
      <c r="N18" s="47" t="s">
        <v>174</v>
      </c>
      <c r="O18" s="48" t="s">
        <v>144</v>
      </c>
      <c r="P18" s="49" t="s">
        <v>207</v>
      </c>
    </row>
    <row r="19" spans="1:16" ht="12.75" customHeight="1" thickBot="1">
      <c r="A19" s="11" t="str">
        <f t="shared" si="0"/>
        <v>BAVM 238 </v>
      </c>
      <c r="B19" s="5" t="str">
        <f t="shared" si="1"/>
        <v>II</v>
      </c>
      <c r="C19" s="11">
        <f t="shared" si="2"/>
        <v>56862.495300000002</v>
      </c>
      <c r="D19" s="13" t="str">
        <f t="shared" si="3"/>
        <v>vis</v>
      </c>
      <c r="E19" s="45">
        <f>VLOOKUP(C19,Active!C$21:E$972,3,FALSE)</f>
        <v>13011.385027827106</v>
      </c>
      <c r="F19" s="5" t="s">
        <v>60</v>
      </c>
      <c r="G19" s="13" t="str">
        <f t="shared" si="4"/>
        <v>56862.4953</v>
      </c>
      <c r="H19" s="11">
        <f t="shared" si="5"/>
        <v>13011.5</v>
      </c>
      <c r="I19" s="46" t="s">
        <v>208</v>
      </c>
      <c r="J19" s="47" t="s">
        <v>209</v>
      </c>
      <c r="K19" s="46" t="s">
        <v>210</v>
      </c>
      <c r="L19" s="46" t="s">
        <v>211</v>
      </c>
      <c r="M19" s="47" t="s">
        <v>173</v>
      </c>
      <c r="N19" s="47" t="s">
        <v>174</v>
      </c>
      <c r="O19" s="48" t="s">
        <v>144</v>
      </c>
      <c r="P19" s="49" t="s">
        <v>207</v>
      </c>
    </row>
    <row r="20" spans="1:16" ht="12.75" customHeight="1" thickBot="1">
      <c r="A20" s="11" t="str">
        <f t="shared" si="0"/>
        <v> AHSB 6.3.35 </v>
      </c>
      <c r="B20" s="5" t="str">
        <f t="shared" si="1"/>
        <v>I</v>
      </c>
      <c r="C20" s="11">
        <f t="shared" si="2"/>
        <v>32822.425000000003</v>
      </c>
      <c r="D20" s="13" t="str">
        <f t="shared" si="3"/>
        <v>vis</v>
      </c>
      <c r="E20" s="45">
        <f>VLOOKUP(C20,Active!C$21:E$972,3,FALSE)</f>
        <v>-742.01915859619601</v>
      </c>
      <c r="F20" s="5" t="s">
        <v>60</v>
      </c>
      <c r="G20" s="13" t="str">
        <f t="shared" si="4"/>
        <v>32822.425</v>
      </c>
      <c r="H20" s="11">
        <f t="shared" si="5"/>
        <v>-742</v>
      </c>
      <c r="I20" s="46" t="s">
        <v>63</v>
      </c>
      <c r="J20" s="47" t="s">
        <v>64</v>
      </c>
      <c r="K20" s="46">
        <v>-742</v>
      </c>
      <c r="L20" s="46" t="s">
        <v>65</v>
      </c>
      <c r="M20" s="47" t="s">
        <v>62</v>
      </c>
      <c r="N20" s="47"/>
      <c r="O20" s="48" t="s">
        <v>66</v>
      </c>
      <c r="P20" s="48" t="s">
        <v>67</v>
      </c>
    </row>
    <row r="21" spans="1:16" ht="12.75" customHeight="1" thickBot="1">
      <c r="A21" s="11" t="str">
        <f t="shared" si="0"/>
        <v> AHSB 6.3.35 </v>
      </c>
      <c r="B21" s="5" t="str">
        <f t="shared" si="1"/>
        <v>I</v>
      </c>
      <c r="C21" s="11">
        <f t="shared" si="2"/>
        <v>33946.383999999998</v>
      </c>
      <c r="D21" s="13" t="str">
        <f t="shared" si="3"/>
        <v>vis</v>
      </c>
      <c r="E21" s="45">
        <f>VLOOKUP(C21,Active!C$21:E$972,3,FALSE)</f>
        <v>-98.998475916741299</v>
      </c>
      <c r="F21" s="5" t="s">
        <v>60</v>
      </c>
      <c r="G21" s="13" t="str">
        <f t="shared" si="4"/>
        <v>33946.384</v>
      </c>
      <c r="H21" s="11">
        <f t="shared" si="5"/>
        <v>-99</v>
      </c>
      <c r="I21" s="46" t="s">
        <v>68</v>
      </c>
      <c r="J21" s="47" t="s">
        <v>69</v>
      </c>
      <c r="K21" s="46">
        <v>-99</v>
      </c>
      <c r="L21" s="46" t="s">
        <v>70</v>
      </c>
      <c r="M21" s="47" t="s">
        <v>62</v>
      </c>
      <c r="N21" s="47"/>
      <c r="O21" s="48" t="s">
        <v>66</v>
      </c>
      <c r="P21" s="48" t="s">
        <v>67</v>
      </c>
    </row>
    <row r="22" spans="1:16" ht="12.75" customHeight="1" thickBot="1">
      <c r="A22" s="11" t="str">
        <f t="shared" si="0"/>
        <v> AHSB 6.3.35 </v>
      </c>
      <c r="B22" s="5" t="str">
        <f t="shared" si="1"/>
        <v>I</v>
      </c>
      <c r="C22" s="11">
        <f t="shared" si="2"/>
        <v>34119.468999999997</v>
      </c>
      <c r="D22" s="13" t="str">
        <f t="shared" si="3"/>
        <v>vis</v>
      </c>
      <c r="E22" s="45">
        <f>VLOOKUP(C22,Active!C$21:E$972,3,FALSE)</f>
        <v>2.402833970694843E-2</v>
      </c>
      <c r="F22" s="5" t="s">
        <v>60</v>
      </c>
      <c r="G22" s="13" t="str">
        <f t="shared" si="4"/>
        <v>34119.469</v>
      </c>
      <c r="H22" s="11">
        <f t="shared" si="5"/>
        <v>0</v>
      </c>
      <c r="I22" s="46" t="s">
        <v>71</v>
      </c>
      <c r="J22" s="47" t="s">
        <v>72</v>
      </c>
      <c r="K22" s="46">
        <v>0</v>
      </c>
      <c r="L22" s="46" t="s">
        <v>73</v>
      </c>
      <c r="M22" s="47" t="s">
        <v>62</v>
      </c>
      <c r="N22" s="47"/>
      <c r="O22" s="48" t="s">
        <v>66</v>
      </c>
      <c r="P22" s="48" t="s">
        <v>67</v>
      </c>
    </row>
    <row r="23" spans="1:16" ht="12.75" customHeight="1" thickBot="1">
      <c r="A23" s="11" t="str">
        <f t="shared" si="0"/>
        <v> AHSB 6.3.35 </v>
      </c>
      <c r="B23" s="5" t="str">
        <f t="shared" si="1"/>
        <v>I</v>
      </c>
      <c r="C23" s="11">
        <f t="shared" si="2"/>
        <v>34215.53</v>
      </c>
      <c r="D23" s="13" t="str">
        <f t="shared" si="3"/>
        <v>vis</v>
      </c>
      <c r="E23" s="45">
        <f>VLOOKUP(C23,Active!C$21:E$972,3,FALSE)</f>
        <v>54.98084598062831</v>
      </c>
      <c r="F23" s="5" t="s">
        <v>60</v>
      </c>
      <c r="G23" s="13" t="str">
        <f t="shared" si="4"/>
        <v>34215.530</v>
      </c>
      <c r="H23" s="11">
        <f t="shared" si="5"/>
        <v>55</v>
      </c>
      <c r="I23" s="46" t="s">
        <v>74</v>
      </c>
      <c r="J23" s="47" t="s">
        <v>75</v>
      </c>
      <c r="K23" s="46">
        <v>55</v>
      </c>
      <c r="L23" s="46" t="s">
        <v>65</v>
      </c>
      <c r="M23" s="47" t="s">
        <v>62</v>
      </c>
      <c r="N23" s="47"/>
      <c r="O23" s="48" t="s">
        <v>66</v>
      </c>
      <c r="P23" s="48" t="s">
        <v>67</v>
      </c>
    </row>
    <row r="24" spans="1:16" ht="12.75" customHeight="1" thickBot="1">
      <c r="A24" s="11" t="str">
        <f t="shared" si="0"/>
        <v> AHSB 6.3.35 </v>
      </c>
      <c r="B24" s="5" t="str">
        <f t="shared" si="1"/>
        <v>I</v>
      </c>
      <c r="C24" s="11">
        <f t="shared" si="2"/>
        <v>34626.338000000003</v>
      </c>
      <c r="D24" s="13" t="str">
        <f t="shared" si="3"/>
        <v>vis</v>
      </c>
      <c r="E24" s="45">
        <f>VLOOKUP(C24,Active!C$21:E$972,3,FALSE)</f>
        <v>290.00546930780081</v>
      </c>
      <c r="F24" s="5" t="s">
        <v>60</v>
      </c>
      <c r="G24" s="13" t="str">
        <f t="shared" si="4"/>
        <v>34626.338</v>
      </c>
      <c r="H24" s="11">
        <f t="shared" si="5"/>
        <v>290</v>
      </c>
      <c r="I24" s="46" t="s">
        <v>76</v>
      </c>
      <c r="J24" s="47" t="s">
        <v>77</v>
      </c>
      <c r="K24" s="46">
        <v>290</v>
      </c>
      <c r="L24" s="46" t="s">
        <v>78</v>
      </c>
      <c r="M24" s="47" t="s">
        <v>62</v>
      </c>
      <c r="N24" s="47"/>
      <c r="O24" s="48" t="s">
        <v>66</v>
      </c>
      <c r="P24" s="48" t="s">
        <v>67</v>
      </c>
    </row>
    <row r="25" spans="1:16" ht="12.75" customHeight="1" thickBot="1">
      <c r="A25" s="11" t="str">
        <f t="shared" si="0"/>
        <v> AHSB 6.3.35 </v>
      </c>
      <c r="B25" s="5" t="str">
        <f t="shared" si="1"/>
        <v>I</v>
      </c>
      <c r="C25" s="11">
        <f t="shared" si="2"/>
        <v>35070.332000000002</v>
      </c>
      <c r="D25" s="13" t="str">
        <f t="shared" si="3"/>
        <v>vis</v>
      </c>
      <c r="E25" s="45">
        <f>VLOOKUP(C25,Active!C$21:E$972,3,FALSE)</f>
        <v>544.0159136261276</v>
      </c>
      <c r="F25" s="5" t="s">
        <v>60</v>
      </c>
      <c r="G25" s="13" t="str">
        <f t="shared" si="4"/>
        <v>35070.332</v>
      </c>
      <c r="H25" s="11">
        <f t="shared" si="5"/>
        <v>544</v>
      </c>
      <c r="I25" s="46" t="s">
        <v>79</v>
      </c>
      <c r="J25" s="47" t="s">
        <v>80</v>
      </c>
      <c r="K25" s="46">
        <v>544</v>
      </c>
      <c r="L25" s="46" t="s">
        <v>81</v>
      </c>
      <c r="M25" s="47" t="s">
        <v>62</v>
      </c>
      <c r="N25" s="47"/>
      <c r="O25" s="48" t="s">
        <v>66</v>
      </c>
      <c r="P25" s="48" t="s">
        <v>67</v>
      </c>
    </row>
    <row r="26" spans="1:16" ht="12.75" customHeight="1" thickBot="1">
      <c r="A26" s="11" t="str">
        <f t="shared" si="0"/>
        <v> AHSB 6.3.35 </v>
      </c>
      <c r="B26" s="5" t="str">
        <f t="shared" si="1"/>
        <v>I</v>
      </c>
      <c r="C26" s="11">
        <f t="shared" si="2"/>
        <v>35374.423999999999</v>
      </c>
      <c r="D26" s="13" t="str">
        <f t="shared" si="3"/>
        <v>vis</v>
      </c>
      <c r="E26" s="45">
        <f>VLOOKUP(C26,Active!C$21:E$972,3,FALSE)</f>
        <v>717.98795836918271</v>
      </c>
      <c r="F26" s="5" t="s">
        <v>60</v>
      </c>
      <c r="G26" s="13" t="str">
        <f t="shared" si="4"/>
        <v>35374.424</v>
      </c>
      <c r="H26" s="11">
        <f t="shared" si="5"/>
        <v>718</v>
      </c>
      <c r="I26" s="46" t="s">
        <v>82</v>
      </c>
      <c r="J26" s="47" t="s">
        <v>83</v>
      </c>
      <c r="K26" s="46">
        <v>718</v>
      </c>
      <c r="L26" s="46" t="s">
        <v>84</v>
      </c>
      <c r="M26" s="47" t="s">
        <v>62</v>
      </c>
      <c r="N26" s="47"/>
      <c r="O26" s="48" t="s">
        <v>66</v>
      </c>
      <c r="P26" s="48" t="s">
        <v>67</v>
      </c>
    </row>
    <row r="27" spans="1:16" ht="12.75" customHeight="1" thickBot="1">
      <c r="A27" s="11" t="str">
        <f t="shared" si="0"/>
        <v> HABZ 41 </v>
      </c>
      <c r="B27" s="5" t="str">
        <f t="shared" si="1"/>
        <v>II</v>
      </c>
      <c r="C27" s="11">
        <f t="shared" si="2"/>
        <v>36810.343000000001</v>
      </c>
      <c r="D27" s="13" t="str">
        <f t="shared" si="3"/>
        <v>vis</v>
      </c>
      <c r="E27" s="45">
        <f>VLOOKUP(C27,Active!C$21:E$972,3,FALSE)</f>
        <v>1539.481994764109</v>
      </c>
      <c r="F27" s="5" t="s">
        <v>60</v>
      </c>
      <c r="G27" s="13" t="str">
        <f t="shared" si="4"/>
        <v>36810.343</v>
      </c>
      <c r="H27" s="11">
        <f t="shared" si="5"/>
        <v>1539.5</v>
      </c>
      <c r="I27" s="46" t="s">
        <v>85</v>
      </c>
      <c r="J27" s="47" t="s">
        <v>86</v>
      </c>
      <c r="K27" s="46">
        <v>1539.5</v>
      </c>
      <c r="L27" s="46" t="s">
        <v>87</v>
      </c>
      <c r="M27" s="47" t="s">
        <v>88</v>
      </c>
      <c r="N27" s="47"/>
      <c r="O27" s="48" t="s">
        <v>89</v>
      </c>
      <c r="P27" s="48" t="s">
        <v>90</v>
      </c>
    </row>
    <row r="28" spans="1:16" ht="12.75" customHeight="1" thickBot="1">
      <c r="A28" s="11" t="str">
        <f t="shared" si="0"/>
        <v> AHSB 6.3.35 </v>
      </c>
      <c r="B28" s="5" t="str">
        <f t="shared" si="1"/>
        <v>I</v>
      </c>
      <c r="C28" s="11">
        <f t="shared" si="2"/>
        <v>36816.493000000002</v>
      </c>
      <c r="D28" s="13" t="str">
        <f t="shared" si="3"/>
        <v>vis</v>
      </c>
      <c r="E28" s="45">
        <f>VLOOKUP(C28,Active!C$21:E$972,3,FALSE)</f>
        <v>1543.000430221701</v>
      </c>
      <c r="F28" s="5" t="s">
        <v>60</v>
      </c>
      <c r="G28" s="13" t="str">
        <f t="shared" si="4"/>
        <v>36816.493</v>
      </c>
      <c r="H28" s="11">
        <f t="shared" si="5"/>
        <v>1543</v>
      </c>
      <c r="I28" s="46" t="s">
        <v>91</v>
      </c>
      <c r="J28" s="47" t="s">
        <v>92</v>
      </c>
      <c r="K28" s="46">
        <v>1543</v>
      </c>
      <c r="L28" s="46" t="s">
        <v>93</v>
      </c>
      <c r="M28" s="47" t="s">
        <v>62</v>
      </c>
      <c r="N28" s="47"/>
      <c r="O28" s="48" t="s">
        <v>66</v>
      </c>
      <c r="P28" s="48" t="s">
        <v>67</v>
      </c>
    </row>
    <row r="29" spans="1:16" ht="12.75" customHeight="1" thickBot="1">
      <c r="A29" s="11" t="str">
        <f t="shared" si="0"/>
        <v> HABZ 41 </v>
      </c>
      <c r="B29" s="5" t="str">
        <f t="shared" si="1"/>
        <v>I</v>
      </c>
      <c r="C29" s="11">
        <f t="shared" si="2"/>
        <v>36837.432999999997</v>
      </c>
      <c r="D29" s="13" t="str">
        <f t="shared" si="3"/>
        <v>vis</v>
      </c>
      <c r="E29" s="45">
        <f>VLOOKUP(C29,Active!C$21:E$972,3,FALSE)</f>
        <v>1554.980273877301</v>
      </c>
      <c r="F29" s="5" t="s">
        <v>60</v>
      </c>
      <c r="G29" s="13" t="str">
        <f t="shared" si="4"/>
        <v>36837.433</v>
      </c>
      <c r="H29" s="11">
        <f t="shared" si="5"/>
        <v>1555</v>
      </c>
      <c r="I29" s="46" t="s">
        <v>94</v>
      </c>
      <c r="J29" s="47" t="s">
        <v>95</v>
      </c>
      <c r="K29" s="46">
        <v>1555</v>
      </c>
      <c r="L29" s="46" t="s">
        <v>96</v>
      </c>
      <c r="M29" s="47" t="s">
        <v>88</v>
      </c>
      <c r="N29" s="47"/>
      <c r="O29" s="48" t="s">
        <v>89</v>
      </c>
      <c r="P29" s="48" t="s">
        <v>90</v>
      </c>
    </row>
    <row r="30" spans="1:16" ht="12.75" customHeight="1" thickBot="1">
      <c r="A30" s="11" t="str">
        <f t="shared" si="0"/>
        <v> HABZ 41 </v>
      </c>
      <c r="B30" s="5" t="str">
        <f t="shared" si="1"/>
        <v>II</v>
      </c>
      <c r="C30" s="11">
        <f t="shared" si="2"/>
        <v>36894.284</v>
      </c>
      <c r="D30" s="13" t="str">
        <f t="shared" si="3"/>
        <v>vis</v>
      </c>
      <c r="E30" s="45">
        <f>VLOOKUP(C30,Active!C$21:E$972,3,FALSE)</f>
        <v>1587.5049200886053</v>
      </c>
      <c r="F30" s="5" t="s">
        <v>60</v>
      </c>
      <c r="G30" s="13" t="str">
        <f t="shared" si="4"/>
        <v>36894.284</v>
      </c>
      <c r="H30" s="11">
        <f t="shared" si="5"/>
        <v>1587.5</v>
      </c>
      <c r="I30" s="46" t="s">
        <v>97</v>
      </c>
      <c r="J30" s="47" t="s">
        <v>98</v>
      </c>
      <c r="K30" s="46">
        <v>1587.5</v>
      </c>
      <c r="L30" s="46" t="s">
        <v>99</v>
      </c>
      <c r="M30" s="47" t="s">
        <v>88</v>
      </c>
      <c r="N30" s="47"/>
      <c r="O30" s="48" t="s">
        <v>89</v>
      </c>
      <c r="P30" s="48" t="s">
        <v>90</v>
      </c>
    </row>
    <row r="31" spans="1:16" ht="12.75" customHeight="1" thickBot="1">
      <c r="A31" s="11" t="str">
        <f t="shared" si="0"/>
        <v> HABZ 41 </v>
      </c>
      <c r="B31" s="5" t="str">
        <f t="shared" si="1"/>
        <v>II</v>
      </c>
      <c r="C31" s="11">
        <f t="shared" si="2"/>
        <v>37191.409</v>
      </c>
      <c r="D31" s="13" t="str">
        <f t="shared" si="3"/>
        <v>vis</v>
      </c>
      <c r="E31" s="45">
        <f>VLOOKUP(C31,Active!C$21:E$972,3,FALSE)</f>
        <v>1757.4911209563716</v>
      </c>
      <c r="F31" s="5" t="s">
        <v>60</v>
      </c>
      <c r="G31" s="13" t="str">
        <f t="shared" si="4"/>
        <v>37191.409</v>
      </c>
      <c r="H31" s="11">
        <f t="shared" si="5"/>
        <v>1757.5</v>
      </c>
      <c r="I31" s="46" t="s">
        <v>100</v>
      </c>
      <c r="J31" s="47" t="s">
        <v>101</v>
      </c>
      <c r="K31" s="46">
        <v>1757.5</v>
      </c>
      <c r="L31" s="46" t="s">
        <v>102</v>
      </c>
      <c r="M31" s="47" t="s">
        <v>88</v>
      </c>
      <c r="N31" s="47"/>
      <c r="O31" s="48" t="s">
        <v>89</v>
      </c>
      <c r="P31" s="48" t="s">
        <v>90</v>
      </c>
    </row>
    <row r="32" spans="1:16" ht="12.75" customHeight="1" thickBot="1">
      <c r="A32" s="11" t="str">
        <f t="shared" si="0"/>
        <v> HABZ 41 </v>
      </c>
      <c r="B32" s="5" t="str">
        <f t="shared" si="1"/>
        <v>I</v>
      </c>
      <c r="C32" s="11">
        <f t="shared" si="2"/>
        <v>37199.315000000002</v>
      </c>
      <c r="D32" s="13" t="str">
        <f t="shared" si="3"/>
        <v>vis</v>
      </c>
      <c r="E32" s="45">
        <f>VLOOKUP(C32,Active!C$21:E$972,3,FALSE)</f>
        <v>1762.0141698551888</v>
      </c>
      <c r="F32" s="5" t="s">
        <v>60</v>
      </c>
      <c r="G32" s="13" t="str">
        <f t="shared" si="4"/>
        <v>37199.315</v>
      </c>
      <c r="H32" s="11">
        <f t="shared" si="5"/>
        <v>1762</v>
      </c>
      <c r="I32" s="46" t="s">
        <v>103</v>
      </c>
      <c r="J32" s="47" t="s">
        <v>104</v>
      </c>
      <c r="K32" s="46">
        <v>1762</v>
      </c>
      <c r="L32" s="46" t="s">
        <v>105</v>
      </c>
      <c r="M32" s="47" t="s">
        <v>88</v>
      </c>
      <c r="N32" s="47"/>
      <c r="O32" s="48" t="s">
        <v>89</v>
      </c>
      <c r="P32" s="48" t="s">
        <v>90</v>
      </c>
    </row>
    <row r="33" spans="1:16" ht="12.75" customHeight="1" thickBot="1">
      <c r="A33" s="11" t="str">
        <f t="shared" si="0"/>
        <v> HABZ 41 </v>
      </c>
      <c r="B33" s="5" t="str">
        <f t="shared" si="1"/>
        <v>I</v>
      </c>
      <c r="C33" s="11">
        <f t="shared" si="2"/>
        <v>37940.427000000003</v>
      </c>
      <c r="D33" s="13" t="str">
        <f t="shared" si="3"/>
        <v>vis</v>
      </c>
      <c r="E33" s="45">
        <f>VLOOKUP(C33,Active!C$21:E$972,3,FALSE)</f>
        <v>2186.0068103179979</v>
      </c>
      <c r="F33" s="5" t="s">
        <v>60</v>
      </c>
      <c r="G33" s="13" t="str">
        <f t="shared" si="4"/>
        <v>37940.427</v>
      </c>
      <c r="H33" s="11">
        <f t="shared" si="5"/>
        <v>2186</v>
      </c>
      <c r="I33" s="46" t="s">
        <v>106</v>
      </c>
      <c r="J33" s="47" t="s">
        <v>107</v>
      </c>
      <c r="K33" s="46">
        <v>2186</v>
      </c>
      <c r="L33" s="46" t="s">
        <v>108</v>
      </c>
      <c r="M33" s="47" t="s">
        <v>88</v>
      </c>
      <c r="N33" s="47"/>
      <c r="O33" s="48" t="s">
        <v>89</v>
      </c>
      <c r="P33" s="48" t="s">
        <v>90</v>
      </c>
    </row>
    <row r="34" spans="1:16" ht="12.75" customHeight="1" thickBot="1">
      <c r="A34" s="11" t="str">
        <f t="shared" si="0"/>
        <v> HABZ 41 </v>
      </c>
      <c r="B34" s="5" t="str">
        <f t="shared" si="1"/>
        <v>I</v>
      </c>
      <c r="C34" s="11">
        <f t="shared" si="2"/>
        <v>37961.364999999998</v>
      </c>
      <c r="D34" s="13" t="str">
        <f t="shared" si="3"/>
        <v>vis</v>
      </c>
      <c r="E34" s="45">
        <f>VLOOKUP(C34,Active!C$21:E$972,3,FALSE)</f>
        <v>2197.9855097669451</v>
      </c>
      <c r="F34" s="5" t="s">
        <v>60</v>
      </c>
      <c r="G34" s="13" t="str">
        <f t="shared" si="4"/>
        <v>37961.365</v>
      </c>
      <c r="H34" s="11">
        <f t="shared" si="5"/>
        <v>2198</v>
      </c>
      <c r="I34" s="46" t="s">
        <v>109</v>
      </c>
      <c r="J34" s="47" t="s">
        <v>110</v>
      </c>
      <c r="K34" s="46">
        <v>2198</v>
      </c>
      <c r="L34" s="46" t="s">
        <v>111</v>
      </c>
      <c r="M34" s="47" t="s">
        <v>88</v>
      </c>
      <c r="N34" s="47"/>
      <c r="O34" s="48" t="s">
        <v>89</v>
      </c>
      <c r="P34" s="48" t="s">
        <v>90</v>
      </c>
    </row>
    <row r="35" spans="1:16" ht="12.75" customHeight="1" thickBot="1">
      <c r="A35" s="11" t="str">
        <f t="shared" si="0"/>
        <v> HABZ 41 </v>
      </c>
      <c r="B35" s="5" t="str">
        <f t="shared" si="1"/>
        <v>II</v>
      </c>
      <c r="C35" s="11">
        <f t="shared" si="2"/>
        <v>38322.332000000002</v>
      </c>
      <c r="D35" s="13" t="str">
        <f t="shared" si="3"/>
        <v>vis</v>
      </c>
      <c r="E35" s="45">
        <f>VLOOKUP(C35,Active!C$21:E$972,3,FALSE)</f>
        <v>2404.495931201142</v>
      </c>
      <c r="F35" s="5" t="s">
        <v>60</v>
      </c>
      <c r="G35" s="13" t="str">
        <f t="shared" si="4"/>
        <v>38322.332</v>
      </c>
      <c r="H35" s="11">
        <f t="shared" si="5"/>
        <v>2404.5</v>
      </c>
      <c r="I35" s="46" t="s">
        <v>112</v>
      </c>
      <c r="J35" s="47" t="s">
        <v>113</v>
      </c>
      <c r="K35" s="46">
        <v>2404.5</v>
      </c>
      <c r="L35" s="46" t="s">
        <v>114</v>
      </c>
      <c r="M35" s="47" t="s">
        <v>88</v>
      </c>
      <c r="N35" s="47"/>
      <c r="O35" s="48" t="s">
        <v>89</v>
      </c>
      <c r="P35" s="48" t="s">
        <v>90</v>
      </c>
    </row>
    <row r="36" spans="1:16" ht="12.75" customHeight="1" thickBot="1">
      <c r="A36" s="11" t="str">
        <f t="shared" si="0"/>
        <v> HABZ 41 </v>
      </c>
      <c r="B36" s="5" t="str">
        <f t="shared" si="1"/>
        <v>I</v>
      </c>
      <c r="C36" s="11">
        <f t="shared" si="2"/>
        <v>38557.438999999998</v>
      </c>
      <c r="D36" s="13" t="str">
        <f t="shared" si="3"/>
        <v>vis</v>
      </c>
      <c r="E36" s="45">
        <f>VLOOKUP(C36,Active!C$21:E$972,3,FALSE)</f>
        <v>2539.0014279699003</v>
      </c>
      <c r="F36" s="5" t="s">
        <v>60</v>
      </c>
      <c r="G36" s="13" t="str">
        <f t="shared" si="4"/>
        <v>38557.439</v>
      </c>
      <c r="H36" s="11">
        <f t="shared" si="5"/>
        <v>2539</v>
      </c>
      <c r="I36" s="46" t="s">
        <v>115</v>
      </c>
      <c r="J36" s="47" t="s">
        <v>116</v>
      </c>
      <c r="K36" s="46">
        <v>2539</v>
      </c>
      <c r="L36" s="46" t="s">
        <v>117</v>
      </c>
      <c r="M36" s="47" t="s">
        <v>88</v>
      </c>
      <c r="N36" s="47"/>
      <c r="O36" s="48" t="s">
        <v>89</v>
      </c>
      <c r="P36" s="48" t="s">
        <v>90</v>
      </c>
    </row>
    <row r="37" spans="1:16" ht="12.75" customHeight="1" thickBot="1">
      <c r="A37" s="11" t="str">
        <f t="shared" si="0"/>
        <v> HABZ 41 </v>
      </c>
      <c r="B37" s="5" t="str">
        <f t="shared" si="1"/>
        <v>I</v>
      </c>
      <c r="C37" s="11">
        <f t="shared" si="2"/>
        <v>38613.421000000002</v>
      </c>
      <c r="D37" s="13" t="str">
        <f t="shared" si="3"/>
        <v>vis</v>
      </c>
      <c r="E37" s="45">
        <f>VLOOKUP(C37,Active!C$21:E$972,3,FALSE)</f>
        <v>2571.0289163905309</v>
      </c>
      <c r="F37" s="5" t="s">
        <v>60</v>
      </c>
      <c r="G37" s="13" t="str">
        <f t="shared" si="4"/>
        <v>38613.421</v>
      </c>
      <c r="H37" s="11">
        <f t="shared" si="5"/>
        <v>2571</v>
      </c>
      <c r="I37" s="46" t="s">
        <v>118</v>
      </c>
      <c r="J37" s="47" t="s">
        <v>119</v>
      </c>
      <c r="K37" s="46">
        <v>2571</v>
      </c>
      <c r="L37" s="46" t="s">
        <v>120</v>
      </c>
      <c r="M37" s="47" t="s">
        <v>88</v>
      </c>
      <c r="N37" s="47"/>
      <c r="O37" s="48" t="s">
        <v>89</v>
      </c>
      <c r="P37" s="48" t="s">
        <v>90</v>
      </c>
    </row>
    <row r="38" spans="1:16" ht="12.75" customHeight="1" thickBot="1">
      <c r="A38" s="11" t="str">
        <f t="shared" si="0"/>
        <v> HABZ 41 </v>
      </c>
      <c r="B38" s="5" t="str">
        <f t="shared" si="1"/>
        <v>II</v>
      </c>
      <c r="C38" s="11">
        <f t="shared" si="2"/>
        <v>38640.455999999998</v>
      </c>
      <c r="D38" s="13" t="str">
        <f t="shared" si="3"/>
        <v>vis</v>
      </c>
      <c r="E38" s="45">
        <f>VLOOKUP(C38,Active!C$21:E$972,3,FALSE)</f>
        <v>2586.4957298207687</v>
      </c>
      <c r="F38" s="5" t="s">
        <v>60</v>
      </c>
      <c r="G38" s="13" t="str">
        <f t="shared" si="4"/>
        <v>38640.456</v>
      </c>
      <c r="H38" s="11">
        <f t="shared" si="5"/>
        <v>2586.5</v>
      </c>
      <c r="I38" s="46" t="s">
        <v>121</v>
      </c>
      <c r="J38" s="47" t="s">
        <v>122</v>
      </c>
      <c r="K38" s="46">
        <v>2586.5</v>
      </c>
      <c r="L38" s="46" t="s">
        <v>114</v>
      </c>
      <c r="M38" s="47" t="s">
        <v>88</v>
      </c>
      <c r="N38" s="47"/>
      <c r="O38" s="48" t="s">
        <v>89</v>
      </c>
      <c r="P38" s="48" t="s">
        <v>90</v>
      </c>
    </row>
    <row r="39" spans="1:16" ht="12.75" customHeight="1" thickBot="1">
      <c r="A39" s="11" t="str">
        <f t="shared" si="0"/>
        <v> HABZ 41 </v>
      </c>
      <c r="B39" s="5" t="str">
        <f t="shared" si="1"/>
        <v>II</v>
      </c>
      <c r="C39" s="11">
        <f t="shared" si="2"/>
        <v>38675.394999999997</v>
      </c>
      <c r="D39" s="13" t="str">
        <f t="shared" si="3"/>
        <v>vis</v>
      </c>
      <c r="E39" s="45">
        <f>VLOOKUP(C39,Active!C$21:E$972,3,FALSE)</f>
        <v>2606.4844479431704</v>
      </c>
      <c r="F39" s="5" t="s">
        <v>60</v>
      </c>
      <c r="G39" s="13" t="str">
        <f t="shared" si="4"/>
        <v>38675.395</v>
      </c>
      <c r="H39" s="11">
        <f t="shared" si="5"/>
        <v>2606.5</v>
      </c>
      <c r="I39" s="46" t="s">
        <v>123</v>
      </c>
      <c r="J39" s="47" t="s">
        <v>124</v>
      </c>
      <c r="K39" s="46">
        <v>2606.5</v>
      </c>
      <c r="L39" s="46" t="s">
        <v>125</v>
      </c>
      <c r="M39" s="47" t="s">
        <v>88</v>
      </c>
      <c r="N39" s="47"/>
      <c r="O39" s="48" t="s">
        <v>89</v>
      </c>
      <c r="P39" s="48" t="s">
        <v>90</v>
      </c>
    </row>
    <row r="40" spans="1:16" ht="12.75" customHeight="1" thickBot="1">
      <c r="A40" s="11" t="str">
        <f t="shared" si="0"/>
        <v> HABZ 41 </v>
      </c>
      <c r="B40" s="5" t="str">
        <f t="shared" si="1"/>
        <v>I</v>
      </c>
      <c r="C40" s="11">
        <f t="shared" si="2"/>
        <v>39029.370000000003</v>
      </c>
      <c r="D40" s="13" t="str">
        <f t="shared" si="3"/>
        <v>vis</v>
      </c>
      <c r="E40" s="45">
        <f>VLOOKUP(C40,Active!C$21:E$972,3,FALSE)</f>
        <v>2808.9947229189165</v>
      </c>
      <c r="F40" s="5" t="s">
        <v>60</v>
      </c>
      <c r="G40" s="13" t="str">
        <f t="shared" si="4"/>
        <v>39029.370</v>
      </c>
      <c r="H40" s="11">
        <f t="shared" si="5"/>
        <v>2809</v>
      </c>
      <c r="I40" s="46" t="s">
        <v>126</v>
      </c>
      <c r="J40" s="47" t="s">
        <v>127</v>
      </c>
      <c r="K40" s="46">
        <v>2809</v>
      </c>
      <c r="L40" s="46" t="s">
        <v>128</v>
      </c>
      <c r="M40" s="47" t="s">
        <v>88</v>
      </c>
      <c r="N40" s="47"/>
      <c r="O40" s="48" t="s">
        <v>89</v>
      </c>
      <c r="P40" s="48" t="s">
        <v>90</v>
      </c>
    </row>
    <row r="41" spans="1:16" ht="12.75" customHeight="1" thickBot="1">
      <c r="A41" s="11" t="str">
        <f t="shared" si="0"/>
        <v>BAVM 60 </v>
      </c>
      <c r="B41" s="5" t="str">
        <f t="shared" si="1"/>
        <v>II</v>
      </c>
      <c r="C41" s="11">
        <f t="shared" si="2"/>
        <v>47759.387000000002</v>
      </c>
      <c r="D41" s="13" t="str">
        <f t="shared" si="3"/>
        <v>vis</v>
      </c>
      <c r="E41" s="45">
        <f>VLOOKUP(C41,Active!C$21:E$972,3,FALSE)</f>
        <v>7803.4664884755502</v>
      </c>
      <c r="F41" s="5" t="s">
        <v>60</v>
      </c>
      <c r="G41" s="13" t="str">
        <f t="shared" si="4"/>
        <v>47759.387</v>
      </c>
      <c r="H41" s="11">
        <f t="shared" si="5"/>
        <v>7803.5</v>
      </c>
      <c r="I41" s="46" t="s">
        <v>135</v>
      </c>
      <c r="J41" s="47" t="s">
        <v>136</v>
      </c>
      <c r="K41" s="46">
        <v>7803.5</v>
      </c>
      <c r="L41" s="46" t="s">
        <v>137</v>
      </c>
      <c r="M41" s="47" t="s">
        <v>62</v>
      </c>
      <c r="N41" s="47"/>
      <c r="O41" s="48" t="s">
        <v>138</v>
      </c>
      <c r="P41" s="49" t="s">
        <v>139</v>
      </c>
    </row>
    <row r="42" spans="1:16" ht="12.75" customHeight="1" thickBot="1">
      <c r="A42" s="11" t="str">
        <f t="shared" si="0"/>
        <v>BAVM 62 </v>
      </c>
      <c r="B42" s="5" t="str">
        <f t="shared" si="1"/>
        <v>II</v>
      </c>
      <c r="C42" s="11">
        <f t="shared" si="2"/>
        <v>49117.4686</v>
      </c>
      <c r="D42" s="13" t="str">
        <f t="shared" si="3"/>
        <v>vis</v>
      </c>
      <c r="E42" s="45">
        <f>VLOOKUP(C42,Active!C$21:E$972,3,FALSE)</f>
        <v>8580.4294894092218</v>
      </c>
      <c r="F42" s="5" t="s">
        <v>60</v>
      </c>
      <c r="G42" s="13" t="str">
        <f t="shared" si="4"/>
        <v>49117.4686</v>
      </c>
      <c r="H42" s="11">
        <f t="shared" si="5"/>
        <v>8580.5</v>
      </c>
      <c r="I42" s="46" t="s">
        <v>140</v>
      </c>
      <c r="J42" s="47" t="s">
        <v>141</v>
      </c>
      <c r="K42" s="46">
        <v>8580.5</v>
      </c>
      <c r="L42" s="46" t="s">
        <v>142</v>
      </c>
      <c r="M42" s="47" t="s">
        <v>131</v>
      </c>
      <c r="N42" s="47" t="s">
        <v>143</v>
      </c>
      <c r="O42" s="48" t="s">
        <v>144</v>
      </c>
      <c r="P42" s="49" t="s">
        <v>145</v>
      </c>
    </row>
    <row r="43" spans="1:16" ht="12.75" customHeight="1" thickBot="1">
      <c r="A43" s="11" t="str">
        <f t="shared" si="0"/>
        <v>BAVM 62 </v>
      </c>
      <c r="B43" s="5" t="str">
        <f t="shared" si="1"/>
        <v>II</v>
      </c>
      <c r="C43" s="11">
        <f t="shared" si="2"/>
        <v>49117.469299999997</v>
      </c>
      <c r="D43" s="13" t="str">
        <f t="shared" si="3"/>
        <v>vis</v>
      </c>
      <c r="E43" s="45">
        <f>VLOOKUP(C43,Active!C$21:E$972,3,FALSE)</f>
        <v>8580.4298898815487</v>
      </c>
      <c r="F43" s="5" t="s">
        <v>60</v>
      </c>
      <c r="G43" s="13" t="str">
        <f t="shared" si="4"/>
        <v>49117.4693</v>
      </c>
      <c r="H43" s="11">
        <f t="shared" si="5"/>
        <v>8580.5</v>
      </c>
      <c r="I43" s="46" t="s">
        <v>146</v>
      </c>
      <c r="J43" s="47" t="s">
        <v>147</v>
      </c>
      <c r="K43" s="46">
        <v>8580.5</v>
      </c>
      <c r="L43" s="46" t="s">
        <v>148</v>
      </c>
      <c r="M43" s="47" t="s">
        <v>131</v>
      </c>
      <c r="N43" s="47" t="s">
        <v>149</v>
      </c>
      <c r="O43" s="48" t="s">
        <v>144</v>
      </c>
      <c r="P43" s="49" t="s">
        <v>145</v>
      </c>
    </row>
    <row r="44" spans="1:16" ht="12.75" customHeight="1" thickBot="1">
      <c r="A44" s="11" t="str">
        <f t="shared" si="0"/>
        <v>BAVM 132 </v>
      </c>
      <c r="B44" s="5" t="str">
        <f t="shared" si="1"/>
        <v>II</v>
      </c>
      <c r="C44" s="11">
        <f t="shared" si="2"/>
        <v>51384.533000000003</v>
      </c>
      <c r="D44" s="13" t="str">
        <f t="shared" si="3"/>
        <v>vis</v>
      </c>
      <c r="E44" s="45">
        <f>VLOOKUP(C44,Active!C$21:E$972,3,FALSE)</f>
        <v>9877.4245738974423</v>
      </c>
      <c r="F44" s="5" t="s">
        <v>60</v>
      </c>
      <c r="G44" s="13" t="str">
        <f t="shared" si="4"/>
        <v>51384.533</v>
      </c>
      <c r="H44" s="11">
        <f t="shared" si="5"/>
        <v>9877.5</v>
      </c>
      <c r="I44" s="46" t="s">
        <v>163</v>
      </c>
      <c r="J44" s="47" t="s">
        <v>164</v>
      </c>
      <c r="K44" s="46">
        <v>9877.5</v>
      </c>
      <c r="L44" s="46" t="s">
        <v>165</v>
      </c>
      <c r="M44" s="47" t="s">
        <v>131</v>
      </c>
      <c r="N44" s="47" t="s">
        <v>143</v>
      </c>
      <c r="O44" s="48" t="s">
        <v>144</v>
      </c>
      <c r="P44" s="49" t="s">
        <v>166</v>
      </c>
    </row>
    <row r="45" spans="1:16" ht="12.75" customHeight="1" thickBot="1">
      <c r="A45" s="11" t="str">
        <f t="shared" si="0"/>
        <v>BAVM 132 </v>
      </c>
      <c r="B45" s="5" t="str">
        <f t="shared" si="1"/>
        <v>II</v>
      </c>
      <c r="C45" s="11">
        <f t="shared" si="2"/>
        <v>51384.536999999997</v>
      </c>
      <c r="D45" s="13" t="str">
        <f t="shared" si="3"/>
        <v>vis</v>
      </c>
      <c r="E45" s="45">
        <f>VLOOKUP(C45,Active!C$21:E$972,3,FALSE)</f>
        <v>9877.4268623107455</v>
      </c>
      <c r="F45" s="5" t="s">
        <v>60</v>
      </c>
      <c r="G45" s="13" t="str">
        <f t="shared" si="4"/>
        <v>51384.537</v>
      </c>
      <c r="H45" s="11">
        <f t="shared" si="5"/>
        <v>9877.5</v>
      </c>
      <c r="I45" s="46" t="s">
        <v>167</v>
      </c>
      <c r="J45" s="47" t="s">
        <v>168</v>
      </c>
      <c r="K45" s="46">
        <v>9877.5</v>
      </c>
      <c r="L45" s="46" t="s">
        <v>169</v>
      </c>
      <c r="M45" s="47" t="s">
        <v>131</v>
      </c>
      <c r="N45" s="47" t="s">
        <v>149</v>
      </c>
      <c r="O45" s="48" t="s">
        <v>144</v>
      </c>
      <c r="P45" s="49" t="s">
        <v>166</v>
      </c>
    </row>
    <row r="46" spans="1:16" ht="12.75" customHeight="1" thickBot="1">
      <c r="A46" s="11" t="str">
        <f t="shared" si="0"/>
        <v>OEJV 0094 </v>
      </c>
      <c r="B46" s="5" t="str">
        <f t="shared" si="1"/>
        <v>I</v>
      </c>
      <c r="C46" s="11">
        <f t="shared" si="2"/>
        <v>54318.410600000003</v>
      </c>
      <c r="D46" s="13" t="str">
        <f t="shared" si="3"/>
        <v>vis</v>
      </c>
      <c r="E46" s="45" t="e">
        <f>VLOOKUP(C46,Active!C$21:E$972,3,FALSE)</f>
        <v>#N/A</v>
      </c>
      <c r="F46" s="5" t="s">
        <v>60</v>
      </c>
      <c r="G46" s="13" t="str">
        <f t="shared" si="4"/>
        <v>54318.4106</v>
      </c>
      <c r="H46" s="11">
        <f t="shared" si="5"/>
        <v>11556</v>
      </c>
      <c r="I46" s="46" t="s">
        <v>177</v>
      </c>
      <c r="J46" s="47" t="s">
        <v>178</v>
      </c>
      <c r="K46" s="46" t="s">
        <v>179</v>
      </c>
      <c r="L46" s="46" t="s">
        <v>180</v>
      </c>
      <c r="M46" s="47" t="s">
        <v>173</v>
      </c>
      <c r="N46" s="47" t="s">
        <v>52</v>
      </c>
      <c r="O46" s="48" t="s">
        <v>181</v>
      </c>
      <c r="P46" s="49" t="s">
        <v>182</v>
      </c>
    </row>
    <row r="47" spans="1:16" ht="12.75" customHeight="1" thickBot="1">
      <c r="A47" s="11" t="str">
        <f t="shared" si="0"/>
        <v>BAVM 203 </v>
      </c>
      <c r="B47" s="5" t="str">
        <f t="shared" si="1"/>
        <v>I</v>
      </c>
      <c r="C47" s="11">
        <f t="shared" si="2"/>
        <v>54685.465100000001</v>
      </c>
      <c r="D47" s="13" t="str">
        <f t="shared" si="3"/>
        <v>vis</v>
      </c>
      <c r="E47" s="45">
        <f>VLOOKUP(C47,Active!C$21:E$972,3,FALSE)</f>
        <v>11765.898808652033</v>
      </c>
      <c r="F47" s="5" t="s">
        <v>60</v>
      </c>
      <c r="G47" s="13" t="str">
        <f t="shared" si="4"/>
        <v>54685.4651</v>
      </c>
      <c r="H47" s="11">
        <f t="shared" si="5"/>
        <v>11766</v>
      </c>
      <c r="I47" s="46" t="s">
        <v>183</v>
      </c>
      <c r="J47" s="47" t="s">
        <v>184</v>
      </c>
      <c r="K47" s="46" t="s">
        <v>185</v>
      </c>
      <c r="L47" s="46" t="s">
        <v>186</v>
      </c>
      <c r="M47" s="47" t="s">
        <v>173</v>
      </c>
      <c r="N47" s="47" t="s">
        <v>174</v>
      </c>
      <c r="O47" s="48" t="s">
        <v>144</v>
      </c>
      <c r="P47" s="49" t="s">
        <v>187</v>
      </c>
    </row>
    <row r="48" spans="1:16" ht="12.75" customHeight="1" thickBot="1">
      <c r="A48" s="11" t="str">
        <f t="shared" si="0"/>
        <v>BAVM 225 </v>
      </c>
      <c r="B48" s="5" t="str">
        <f t="shared" si="1"/>
        <v>II</v>
      </c>
      <c r="C48" s="11">
        <f t="shared" si="2"/>
        <v>55794.522100000002</v>
      </c>
      <c r="D48" s="13" t="str">
        <f t="shared" si="3"/>
        <v>vis</v>
      </c>
      <c r="E48" s="45">
        <f>VLOOKUP(C48,Active!C$21:E$972,3,FALSE)</f>
        <v>12400.394007560917</v>
      </c>
      <c r="F48" s="5" t="s">
        <v>60</v>
      </c>
      <c r="G48" s="13" t="str">
        <f t="shared" si="4"/>
        <v>55794.5221</v>
      </c>
      <c r="H48" s="11">
        <f t="shared" si="5"/>
        <v>12400.5</v>
      </c>
      <c r="I48" s="46" t="s">
        <v>194</v>
      </c>
      <c r="J48" s="47" t="s">
        <v>195</v>
      </c>
      <c r="K48" s="46" t="s">
        <v>196</v>
      </c>
      <c r="L48" s="46" t="s">
        <v>197</v>
      </c>
      <c r="M48" s="47" t="s">
        <v>173</v>
      </c>
      <c r="N48" s="47" t="s">
        <v>60</v>
      </c>
      <c r="O48" s="48" t="s">
        <v>144</v>
      </c>
      <c r="P48" s="49" t="s">
        <v>198</v>
      </c>
    </row>
    <row r="49" spans="1:16" ht="12.75" customHeight="1" thickBot="1">
      <c r="A49" s="11" t="str">
        <f t="shared" si="0"/>
        <v>BAVM 225 </v>
      </c>
      <c r="B49" s="5" t="str">
        <f t="shared" si="1"/>
        <v>II</v>
      </c>
      <c r="C49" s="11">
        <f t="shared" si="2"/>
        <v>55794.528700000003</v>
      </c>
      <c r="D49" s="13" t="str">
        <f t="shared" si="3"/>
        <v>vis</v>
      </c>
      <c r="E49" s="45">
        <f>VLOOKUP(C49,Active!C$21:E$972,3,FALSE)</f>
        <v>12400.397783442872</v>
      </c>
      <c r="F49" s="5" t="s">
        <v>60</v>
      </c>
      <c r="G49" s="13" t="str">
        <f t="shared" si="4"/>
        <v>55794.5287</v>
      </c>
      <c r="H49" s="11">
        <f t="shared" si="5"/>
        <v>12400.5</v>
      </c>
      <c r="I49" s="46" t="s">
        <v>199</v>
      </c>
      <c r="J49" s="47" t="s">
        <v>200</v>
      </c>
      <c r="K49" s="46" t="s">
        <v>196</v>
      </c>
      <c r="L49" s="46" t="s">
        <v>201</v>
      </c>
      <c r="M49" s="47" t="s">
        <v>173</v>
      </c>
      <c r="N49" s="47" t="s">
        <v>202</v>
      </c>
      <c r="O49" s="48" t="s">
        <v>138</v>
      </c>
      <c r="P49" s="49" t="s">
        <v>198</v>
      </c>
    </row>
    <row r="50" spans="1:16">
      <c r="B50" s="5"/>
      <c r="F50" s="5"/>
    </row>
    <row r="51" spans="1:16">
      <c r="B51" s="5"/>
      <c r="F51" s="5"/>
    </row>
    <row r="52" spans="1:16">
      <c r="B52" s="5"/>
      <c r="F52" s="5"/>
    </row>
    <row r="53" spans="1:16">
      <c r="B53" s="5"/>
      <c r="F53" s="5"/>
    </row>
    <row r="54" spans="1:16">
      <c r="B54" s="5"/>
      <c r="F54" s="5"/>
    </row>
    <row r="55" spans="1:16">
      <c r="B55" s="5"/>
      <c r="F55" s="5"/>
    </row>
    <row r="56" spans="1:16">
      <c r="B56" s="5"/>
      <c r="F56" s="5"/>
    </row>
    <row r="57" spans="1:16">
      <c r="B57" s="5"/>
      <c r="F57" s="5"/>
    </row>
    <row r="58" spans="1:16">
      <c r="B58" s="5"/>
      <c r="F58" s="5"/>
    </row>
    <row r="59" spans="1:16">
      <c r="B59" s="5"/>
      <c r="F59" s="5"/>
    </row>
    <row r="60" spans="1:16">
      <c r="B60" s="5"/>
      <c r="F60" s="5"/>
    </row>
    <row r="61" spans="1:16">
      <c r="B61" s="5"/>
      <c r="F61" s="5"/>
    </row>
    <row r="62" spans="1:16">
      <c r="B62" s="5"/>
      <c r="F62" s="5"/>
    </row>
    <row r="63" spans="1:16">
      <c r="B63" s="5"/>
      <c r="F63" s="5"/>
    </row>
    <row r="64" spans="1:1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</sheetData>
  <phoneticPr fontId="19" type="noConversion"/>
  <hyperlinks>
    <hyperlink ref="P41" r:id="rId1" display="http://www.bav-astro.de/sfs/BAVM_link.php?BAVMnr=60"/>
    <hyperlink ref="P42" r:id="rId2" display="http://www.bav-astro.de/sfs/BAVM_link.php?BAVMnr=62"/>
    <hyperlink ref="P43" r:id="rId3" display="http://www.bav-astro.de/sfs/BAVM_link.php?BAVMnr=62"/>
    <hyperlink ref="P12" r:id="rId4" display="http://www.bav-astro.de/sfs/BAVM_link.php?BAVMnr=80"/>
    <hyperlink ref="P13" r:id="rId5" display="http://www.bav-astro.de/sfs/BAVM_link.php?BAVMnr=80"/>
    <hyperlink ref="P14" r:id="rId6" display="http://www.bav-astro.de/sfs/BAVM_link.php?BAVMnr=80"/>
    <hyperlink ref="P15" r:id="rId7" display="http://www.bav-astro.de/sfs/BAVM_link.php?BAVMnr=80"/>
    <hyperlink ref="P44" r:id="rId8" display="http://www.bav-astro.de/sfs/BAVM_link.php?BAVMnr=132"/>
    <hyperlink ref="P45" r:id="rId9" display="http://www.bav-astro.de/sfs/BAVM_link.php?BAVMnr=132"/>
    <hyperlink ref="P16" r:id="rId10" display="http://www.bav-astro.de/sfs/BAVM_link.php?BAVMnr=183"/>
    <hyperlink ref="P46" r:id="rId11" display="http://var.astro.cz/oejv/issues/oejv0094.pdf"/>
    <hyperlink ref="P47" r:id="rId12" display="http://www.bav-astro.de/sfs/BAVM_link.php?BAVMnr=203"/>
    <hyperlink ref="P17" r:id="rId13" display="http://var.astro.cz/oejv/issues/oejv0137.pdf"/>
    <hyperlink ref="P48" r:id="rId14" display="http://www.bav-astro.de/sfs/BAVM_link.php?BAVMnr=225"/>
    <hyperlink ref="P49" r:id="rId15" display="http://www.bav-astro.de/sfs/BAVM_link.php?BAVMnr=225"/>
    <hyperlink ref="P18" r:id="rId16" display="http://www.bav-astro.de/sfs/BAVM_link.php?BAVMnr=238"/>
    <hyperlink ref="P19" r:id="rId17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2024-02-02T03:55:24Z</dcterms:modified>
</cp:coreProperties>
</file>