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2227D6-B64E-4762-92AA-B13BD5622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Active 2" sheetId="2" r:id="rId2"/>
    <sheet name="A (old)" sheetId="1" r:id="rId3"/>
    <sheet name="BAV" sheetId="4" r:id="rId4"/>
  </sheets>
  <calcPr calcId="181029"/>
</workbook>
</file>

<file path=xl/calcChain.xml><?xml version="1.0" encoding="utf-8"?>
<calcChain xmlns="http://schemas.openxmlformats.org/spreadsheetml/2006/main">
  <c r="G36" i="3" l="1"/>
  <c r="G37" i="3"/>
  <c r="G38" i="3"/>
  <c r="G39" i="3"/>
  <c r="G40" i="3"/>
  <c r="F39" i="3"/>
  <c r="F40" i="3"/>
  <c r="Q34" i="3"/>
  <c r="Q39" i="3"/>
  <c r="E40" i="3"/>
  <c r="Q40" i="3"/>
  <c r="E34" i="2"/>
  <c r="F34" i="2" s="1"/>
  <c r="G34" i="2" s="1"/>
  <c r="J34" i="2" s="1"/>
  <c r="Q34" i="2"/>
  <c r="E38" i="2"/>
  <c r="F38" i="2" s="1"/>
  <c r="G38" i="2" s="1"/>
  <c r="J38" i="2" s="1"/>
  <c r="Q38" i="2"/>
  <c r="E39" i="2"/>
  <c r="F39" i="2" s="1"/>
  <c r="G39" i="2" s="1"/>
  <c r="J39" i="2" s="1"/>
  <c r="Q39" i="2"/>
  <c r="Q35" i="3"/>
  <c r="D9" i="3"/>
  <c r="C9" i="3"/>
  <c r="G25" i="4"/>
  <c r="C25" i="4"/>
  <c r="G24" i="4"/>
  <c r="C24" i="4" s="1"/>
  <c r="E24" i="4" s="1"/>
  <c r="G23" i="4"/>
  <c r="C23" i="4" s="1"/>
  <c r="G26" i="4"/>
  <c r="C26" i="4" s="1"/>
  <c r="G22" i="4"/>
  <c r="C22" i="4"/>
  <c r="G21" i="4"/>
  <c r="C21" i="4"/>
  <c r="G20" i="4"/>
  <c r="C20" i="4"/>
  <c r="G19" i="4"/>
  <c r="C19" i="4"/>
  <c r="E19" i="4" s="1"/>
  <c r="G18" i="4"/>
  <c r="C18" i="4" s="1"/>
  <c r="G17" i="4"/>
  <c r="C17" i="4"/>
  <c r="G16" i="4"/>
  <c r="C16" i="4"/>
  <c r="G15" i="4"/>
  <c r="C15" i="4" s="1"/>
  <c r="G14" i="4"/>
  <c r="C14" i="4" s="1"/>
  <c r="G13" i="4"/>
  <c r="C13" i="4" s="1"/>
  <c r="E13" i="4" s="1"/>
  <c r="G12" i="4"/>
  <c r="C12" i="4"/>
  <c r="E12" i="4" s="1"/>
  <c r="G11" i="4"/>
  <c r="C11" i="4" s="1"/>
  <c r="H25" i="4"/>
  <c r="B25" i="4"/>
  <c r="D25" i="4"/>
  <c r="A25" i="4"/>
  <c r="H24" i="4"/>
  <c r="B24" i="4" s="1"/>
  <c r="D24" i="4"/>
  <c r="A24" i="4"/>
  <c r="H23" i="4"/>
  <c r="B23" i="4"/>
  <c r="D23" i="4"/>
  <c r="A23" i="4"/>
  <c r="H26" i="4"/>
  <c r="B26" i="4" s="1"/>
  <c r="D26" i="4"/>
  <c r="A26" i="4"/>
  <c r="H22" i="4"/>
  <c r="B22" i="4"/>
  <c r="D22" i="4"/>
  <c r="A22" i="4"/>
  <c r="H21" i="4"/>
  <c r="B21" i="4" s="1"/>
  <c r="D21" i="4"/>
  <c r="A21" i="4"/>
  <c r="H20" i="4"/>
  <c r="B20" i="4"/>
  <c r="D20" i="4"/>
  <c r="A20" i="4"/>
  <c r="H19" i="4"/>
  <c r="B19" i="4" s="1"/>
  <c r="D19" i="4"/>
  <c r="A19" i="4"/>
  <c r="H18" i="4"/>
  <c r="B18" i="4"/>
  <c r="D18" i="4"/>
  <c r="A18" i="4"/>
  <c r="H17" i="4"/>
  <c r="B17" i="4" s="1"/>
  <c r="D17" i="4"/>
  <c r="A17" i="4"/>
  <c r="H16" i="4"/>
  <c r="B16" i="4"/>
  <c r="D16" i="4"/>
  <c r="A16" i="4"/>
  <c r="H15" i="4"/>
  <c r="B15" i="4" s="1"/>
  <c r="D15" i="4"/>
  <c r="A15" i="4"/>
  <c r="H14" i="4"/>
  <c r="B14" i="4"/>
  <c r="D14" i="4"/>
  <c r="A14" i="4"/>
  <c r="H13" i="4"/>
  <c r="B13" i="4" s="1"/>
  <c r="D13" i="4"/>
  <c r="A13" i="4"/>
  <c r="H12" i="4"/>
  <c r="B12" i="4"/>
  <c r="D12" i="4"/>
  <c r="A12" i="4"/>
  <c r="H11" i="4"/>
  <c r="B11" i="4" s="1"/>
  <c r="D11" i="4"/>
  <c r="A11" i="4"/>
  <c r="C7" i="3"/>
  <c r="E27" i="3" s="1"/>
  <c r="F17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6" i="3"/>
  <c r="Q37" i="3"/>
  <c r="Q38" i="3"/>
  <c r="F11" i="1"/>
  <c r="F11" i="2"/>
  <c r="C7" i="2"/>
  <c r="E26" i="2" s="1"/>
  <c r="F26" i="2" s="1"/>
  <c r="G26" i="2" s="1"/>
  <c r="I26" i="2" s="1"/>
  <c r="E25" i="2"/>
  <c r="F25" i="2" s="1"/>
  <c r="E29" i="2"/>
  <c r="F29" i="2" s="1"/>
  <c r="E33" i="2"/>
  <c r="F33" i="2" s="1"/>
  <c r="G11" i="2"/>
  <c r="E15" i="2"/>
  <c r="C21" i="2"/>
  <c r="C17" i="2" s="1"/>
  <c r="Q22" i="2"/>
  <c r="Q23" i="2"/>
  <c r="Q24" i="2"/>
  <c r="Q25" i="2"/>
  <c r="Q26" i="2"/>
  <c r="Q27" i="2"/>
  <c r="Q28" i="2"/>
  <c r="Q29" i="2"/>
  <c r="Q30" i="2"/>
  <c r="Q31" i="2"/>
  <c r="Q32" i="2"/>
  <c r="Q33" i="2"/>
  <c r="Q35" i="2"/>
  <c r="Q36" i="2"/>
  <c r="Q37" i="2"/>
  <c r="Q34" i="1"/>
  <c r="Q35" i="1"/>
  <c r="Q36" i="1"/>
  <c r="Q25" i="1"/>
  <c r="G11" i="1"/>
  <c r="E15" i="1"/>
  <c r="Q30" i="1"/>
  <c r="Q31" i="1"/>
  <c r="Q32" i="1"/>
  <c r="Q33" i="1"/>
  <c r="C7" i="1"/>
  <c r="E35" i="1" s="1"/>
  <c r="F35" i="1" s="1"/>
  <c r="G35" i="1" s="1"/>
  <c r="J35" i="1" s="1"/>
  <c r="C8" i="1"/>
  <c r="E29" i="1"/>
  <c r="F29" i="1" s="1"/>
  <c r="G29" i="1" s="1"/>
  <c r="J29" i="1" s="1"/>
  <c r="C21" i="1"/>
  <c r="E21" i="1" s="1"/>
  <c r="F21" i="1" s="1"/>
  <c r="Q27" i="1"/>
  <c r="Q28" i="1"/>
  <c r="Q29" i="1"/>
  <c r="Q22" i="1"/>
  <c r="Q23" i="1"/>
  <c r="Q24" i="1"/>
  <c r="Q26" i="1"/>
  <c r="Q21" i="1"/>
  <c r="E24" i="1"/>
  <c r="F24" i="1" s="1"/>
  <c r="G24" i="1" s="1"/>
  <c r="I24" i="1" s="1"/>
  <c r="E31" i="1"/>
  <c r="F31" i="1" s="1"/>
  <c r="G31" i="1" s="1"/>
  <c r="J31" i="1" s="1"/>
  <c r="E22" i="1"/>
  <c r="F22" i="1" s="1"/>
  <c r="G22" i="1" s="1"/>
  <c r="N22" i="1" s="1"/>
  <c r="E28" i="1"/>
  <c r="F28" i="1"/>
  <c r="G28" i="1"/>
  <c r="J28" i="1" s="1"/>
  <c r="E28" i="2"/>
  <c r="F28" i="2" s="1"/>
  <c r="G28" i="2" s="1"/>
  <c r="J28" i="2" s="1"/>
  <c r="E37" i="3"/>
  <c r="F37" i="3" s="1"/>
  <c r="U37" i="3" s="1"/>
  <c r="E30" i="1"/>
  <c r="F30" i="1" s="1"/>
  <c r="E34" i="1"/>
  <c r="F34" i="1" s="1"/>
  <c r="G34" i="1" s="1"/>
  <c r="J34" i="1" s="1"/>
  <c r="E30" i="2"/>
  <c r="F30" i="2" s="1"/>
  <c r="E22" i="2"/>
  <c r="F22" i="2" s="1"/>
  <c r="G22" i="2" s="1"/>
  <c r="N22" i="2" s="1"/>
  <c r="E36" i="3"/>
  <c r="F36" i="3"/>
  <c r="U36" i="3" s="1"/>
  <c r="E33" i="1"/>
  <c r="F33" i="1" s="1"/>
  <c r="G33" i="1" s="1"/>
  <c r="J33" i="1" s="1"/>
  <c r="E27" i="1"/>
  <c r="F27" i="1" s="1"/>
  <c r="G27" i="1" s="1"/>
  <c r="J27" i="1" s="1"/>
  <c r="E25" i="1"/>
  <c r="F25" i="1" s="1"/>
  <c r="G25" i="1" s="1"/>
  <c r="N25" i="1" s="1"/>
  <c r="E36" i="1"/>
  <c r="F36" i="1" s="1"/>
  <c r="G36" i="1" s="1"/>
  <c r="J36" i="1" s="1"/>
  <c r="E32" i="1"/>
  <c r="F32" i="1"/>
  <c r="G32" i="1" s="1"/>
  <c r="J32" i="1" s="1"/>
  <c r="E23" i="1"/>
  <c r="F23" i="1" s="1"/>
  <c r="G23" i="1" s="1"/>
  <c r="I23" i="1" s="1"/>
  <c r="E32" i="2"/>
  <c r="F32" i="2" s="1"/>
  <c r="G32" i="2" s="1"/>
  <c r="J32" i="2" s="1"/>
  <c r="E24" i="2"/>
  <c r="F24" i="2" s="1"/>
  <c r="G24" i="2" s="1"/>
  <c r="I24" i="2" s="1"/>
  <c r="E24" i="3"/>
  <c r="F24" i="3" s="1"/>
  <c r="U24" i="3" s="1"/>
  <c r="E25" i="3"/>
  <c r="F25" i="3" s="1"/>
  <c r="G25" i="3" s="1"/>
  <c r="K25" i="3" s="1"/>
  <c r="E35" i="3"/>
  <c r="F35" i="3" s="1"/>
  <c r="G35" i="3" s="1"/>
  <c r="I35" i="3" s="1"/>
  <c r="E32" i="3"/>
  <c r="F32" i="3" s="1"/>
  <c r="G32" i="3" s="1"/>
  <c r="J32" i="3" s="1"/>
  <c r="E30" i="3"/>
  <c r="E28" i="3"/>
  <c r="F28" i="3" s="1"/>
  <c r="G28" i="3" s="1"/>
  <c r="K28" i="3" s="1"/>
  <c r="E26" i="3"/>
  <c r="F26" i="3" s="1"/>
  <c r="G26" i="3" s="1"/>
  <c r="K26" i="3" s="1"/>
  <c r="E26" i="1"/>
  <c r="F26" i="1" s="1"/>
  <c r="G26" i="1" s="1"/>
  <c r="I26" i="1" s="1"/>
  <c r="E35" i="2"/>
  <c r="F35" i="2" s="1"/>
  <c r="G35" i="2" s="1"/>
  <c r="J35" i="2" s="1"/>
  <c r="E38" i="3"/>
  <c r="F38" i="3" s="1"/>
  <c r="U38" i="3" s="1"/>
  <c r="E21" i="3"/>
  <c r="F21" i="3" s="1"/>
  <c r="G21" i="3" s="1"/>
  <c r="H21" i="3" s="1"/>
  <c r="E23" i="3"/>
  <c r="F23" i="3" s="1"/>
  <c r="G23" i="3" s="1"/>
  <c r="K23" i="3" s="1"/>
  <c r="F30" i="3"/>
  <c r="G30" i="3" s="1"/>
  <c r="J30" i="3" s="1"/>
  <c r="E14" i="4" l="1"/>
  <c r="E23" i="4"/>
  <c r="E33" i="3"/>
  <c r="F33" i="3" s="1"/>
  <c r="G33" i="3" s="1"/>
  <c r="J33" i="3" s="1"/>
  <c r="E39" i="3"/>
  <c r="E21" i="4"/>
  <c r="E11" i="4"/>
  <c r="E22" i="3"/>
  <c r="F22" i="3" s="1"/>
  <c r="G22" i="3" s="1"/>
  <c r="I22" i="3" s="1"/>
  <c r="E34" i="3"/>
  <c r="F34" i="3" s="1"/>
  <c r="E26" i="4"/>
  <c r="E25" i="4"/>
  <c r="E17" i="4"/>
  <c r="E15" i="4"/>
  <c r="E22" i="4"/>
  <c r="E21" i="2"/>
  <c r="F21" i="2" s="1"/>
  <c r="Q21" i="2"/>
  <c r="F27" i="3"/>
  <c r="G27" i="3" s="1"/>
  <c r="E16" i="4"/>
  <c r="E31" i="3"/>
  <c r="F31" i="3" s="1"/>
  <c r="G31" i="3" s="1"/>
  <c r="J31" i="3" s="1"/>
  <c r="G30" i="2"/>
  <c r="J30" i="2" s="1"/>
  <c r="G30" i="1"/>
  <c r="C17" i="1"/>
  <c r="E36" i="2"/>
  <c r="F36" i="2" s="1"/>
  <c r="G36" i="2" s="1"/>
  <c r="J36" i="2" s="1"/>
  <c r="E31" i="2"/>
  <c r="F31" i="2" s="1"/>
  <c r="G31" i="2" s="1"/>
  <c r="J31" i="2" s="1"/>
  <c r="E27" i="2"/>
  <c r="F27" i="2" s="1"/>
  <c r="G27" i="2" s="1"/>
  <c r="J27" i="2" s="1"/>
  <c r="E23" i="2"/>
  <c r="F23" i="2" s="1"/>
  <c r="G23" i="2" s="1"/>
  <c r="E29" i="3"/>
  <c r="F29" i="3" s="1"/>
  <c r="G29" i="3" s="1"/>
  <c r="K29" i="3" s="1"/>
  <c r="E37" i="2"/>
  <c r="F37" i="2" s="1"/>
  <c r="G37" i="2" s="1"/>
  <c r="J37" i="2" s="1"/>
  <c r="G33" i="2"/>
  <c r="J33" i="2" s="1"/>
  <c r="G29" i="2"/>
  <c r="J29" i="2" s="1"/>
  <c r="G25" i="2"/>
  <c r="N25" i="2" s="1"/>
  <c r="C11" i="3"/>
  <c r="C12" i="1"/>
  <c r="C12" i="2"/>
  <c r="C12" i="3"/>
  <c r="C11" i="2"/>
  <c r="C11" i="1"/>
  <c r="O34" i="3" l="1"/>
  <c r="S34" i="3" s="1"/>
  <c r="O40" i="3"/>
  <c r="S40" i="3" s="1"/>
  <c r="O39" i="3"/>
  <c r="S39" i="3" s="1"/>
  <c r="O39" i="2"/>
  <c r="R39" i="2" s="1"/>
  <c r="O38" i="2"/>
  <c r="R38" i="2" s="1"/>
  <c r="O34" i="2"/>
  <c r="R34" i="2" s="1"/>
  <c r="O32" i="1"/>
  <c r="R32" i="1" s="1"/>
  <c r="O23" i="1"/>
  <c r="R23" i="1" s="1"/>
  <c r="O27" i="1"/>
  <c r="R27" i="1" s="1"/>
  <c r="O22" i="1"/>
  <c r="R22" i="1" s="1"/>
  <c r="O25" i="1"/>
  <c r="R25" i="1" s="1"/>
  <c r="O33" i="1"/>
  <c r="R33" i="1" s="1"/>
  <c r="O36" i="1"/>
  <c r="R36" i="1" s="1"/>
  <c r="O28" i="1"/>
  <c r="R28" i="1" s="1"/>
  <c r="O34" i="1"/>
  <c r="R34" i="1" s="1"/>
  <c r="O26" i="1"/>
  <c r="R26" i="1" s="1"/>
  <c r="O21" i="1"/>
  <c r="O30" i="1"/>
  <c r="R30" i="1" s="1"/>
  <c r="O24" i="1"/>
  <c r="R24" i="1" s="1"/>
  <c r="O35" i="1"/>
  <c r="R35" i="1" s="1"/>
  <c r="C15" i="1"/>
  <c r="O31" i="1"/>
  <c r="R31" i="1" s="1"/>
  <c r="O29" i="1"/>
  <c r="R29" i="1" s="1"/>
  <c r="O22" i="2"/>
  <c r="R22" i="2" s="1"/>
  <c r="O27" i="2"/>
  <c r="R27" i="2" s="1"/>
  <c r="O24" i="2"/>
  <c r="R24" i="2" s="1"/>
  <c r="O21" i="2"/>
  <c r="O32" i="2"/>
  <c r="R32" i="2" s="1"/>
  <c r="O29" i="2"/>
  <c r="R29" i="2" s="1"/>
  <c r="O23" i="2"/>
  <c r="R23" i="2" s="1"/>
  <c r="O26" i="2"/>
  <c r="R26" i="2" s="1"/>
  <c r="O36" i="2"/>
  <c r="R36" i="2" s="1"/>
  <c r="O37" i="2"/>
  <c r="R37" i="2" s="1"/>
  <c r="O33" i="2"/>
  <c r="R33" i="2" s="1"/>
  <c r="O30" i="2"/>
  <c r="R30" i="2" s="1"/>
  <c r="C15" i="2"/>
  <c r="O31" i="2"/>
  <c r="R31" i="2" s="1"/>
  <c r="O35" i="2"/>
  <c r="R35" i="2" s="1"/>
  <c r="O28" i="2"/>
  <c r="R28" i="2" s="1"/>
  <c r="O25" i="2"/>
  <c r="R25" i="2" s="1"/>
  <c r="C16" i="2"/>
  <c r="D18" i="2" s="1"/>
  <c r="O36" i="3"/>
  <c r="S36" i="3" s="1"/>
  <c r="O21" i="3"/>
  <c r="O32" i="3"/>
  <c r="S32" i="3" s="1"/>
  <c r="O38" i="3"/>
  <c r="S38" i="3" s="1"/>
  <c r="O28" i="3"/>
  <c r="S28" i="3" s="1"/>
  <c r="O37" i="3"/>
  <c r="S37" i="3" s="1"/>
  <c r="O22" i="3"/>
  <c r="S22" i="3" s="1"/>
  <c r="O23" i="3"/>
  <c r="S23" i="3" s="1"/>
  <c r="O25" i="3"/>
  <c r="S25" i="3" s="1"/>
  <c r="C15" i="3"/>
  <c r="O35" i="3"/>
  <c r="O26" i="3"/>
  <c r="S26" i="3" s="1"/>
  <c r="O27" i="3"/>
  <c r="S27" i="3" s="1"/>
  <c r="O24" i="3"/>
  <c r="S24" i="3" s="1"/>
  <c r="O29" i="3"/>
  <c r="S29" i="3" s="1"/>
  <c r="O30" i="3"/>
  <c r="S30" i="3" s="1"/>
  <c r="O33" i="3"/>
  <c r="S33" i="3" s="1"/>
  <c r="O31" i="3"/>
  <c r="S31" i="3" s="1"/>
  <c r="C16" i="3"/>
  <c r="D18" i="3" s="1"/>
  <c r="C16" i="1"/>
  <c r="D18" i="1" s="1"/>
  <c r="I23" i="2"/>
  <c r="E18" i="4"/>
  <c r="K27" i="3"/>
  <c r="J30" i="1"/>
  <c r="E20" i="4"/>
  <c r="E16" i="2" l="1"/>
  <c r="E17" i="2" s="1"/>
  <c r="C18" i="2"/>
  <c r="C18" i="3"/>
  <c r="F18" i="3"/>
  <c r="F19" i="3" s="1"/>
  <c r="R19" i="1"/>
  <c r="C18" i="1"/>
  <c r="E16" i="1"/>
  <c r="E17" i="1" s="1"/>
  <c r="S19" i="3"/>
  <c r="R19" i="2"/>
</calcChain>
</file>

<file path=xl/sharedStrings.xml><?xml version="1.0" encoding="utf-8"?>
<sst xmlns="http://schemas.openxmlformats.org/spreadsheetml/2006/main" count="381" uniqueCount="141">
  <si>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</si>
  <si>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</si>
  <si>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</si>
  <si>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</si>
  <si>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</si>
  <si>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</si>
  <si>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</si>
  <si>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</si>
  <si>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</si>
  <si>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</si>
  <si>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</si>
  <si>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</si>
  <si>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</si>
  <si>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</si>
  <si>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</si>
  <si>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</si>
  <si>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</si>
  <si>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</si>
  <si>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</si>
  <si>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</si>
  <si>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</si>
  <si>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</si>
  <si>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</si>
  <si>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</si>
  <si>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</si>
  <si>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</si>
  <si>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</si>
  <si>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</si>
  <si>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</si>
  <si>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EW/KW</t>
  </si>
  <si>
    <t>IBVS 5263</t>
  </si>
  <si>
    <t>I</t>
  </si>
  <si>
    <t>IBVS 5287</t>
  </si>
  <si>
    <t>IBVS 5583</t>
  </si>
  <si>
    <t>IBVS</t>
  </si>
  <si>
    <t>R.Diethelm BBS 121</t>
  </si>
  <si>
    <t>Krajci</t>
  </si>
  <si>
    <t>II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</si>
  <si>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</si>
  <si>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</si>
  <si>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</si>
  <si>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</si>
  <si>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</si>
  <si>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</si>
  <si>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</si>
  <si>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</si>
  <si>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5761</t>
  </si>
  <si>
    <t>Start of linear fit &gt;&gt;&gt;&gt;&gt;&gt;&gt;&gt;&gt;&gt;&gt;&gt;&gt;&gt;&gt;&gt;&gt;&gt;&gt;&gt;&gt;</t>
  </si>
  <si>
    <t>OEJV 0074</t>
  </si>
  <si>
    <t>CCD</t>
  </si>
  <si>
    <t>V0907 Cyg / ??</t>
  </si>
  <si>
    <t>IBVS 6048</t>
  </si>
  <si>
    <t>IBVS 6070</t>
  </si>
  <si>
    <t>Period found by ToMcat 2014-01-09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</si>
  <si>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</si>
  <si>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</si>
  <si>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</si>
  <si>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</si>
  <si>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</si>
  <si>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</si>
  <si>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</si>
  <si>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</si>
  <si>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</si>
  <si>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</si>
  <si>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</si>
  <si>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2451429.400 </t>
  </si>
  <si>
    <t> 07.09.1999 21:36 </t>
  </si>
  <si>
    <t> 0.016 </t>
  </si>
  <si>
    <t>E </t>
  </si>
  <si>
    <t>?</t>
  </si>
  <si>
    <t> R.Diethelm </t>
  </si>
  <si>
    <t> BBS 121 </t>
  </si>
  <si>
    <t>2451435.3534 </t>
  </si>
  <si>
    <t> 13.09.1999 20:28 </t>
  </si>
  <si>
    <t> 0.0048 </t>
  </si>
  <si>
    <t> M.Zejda </t>
  </si>
  <si>
    <t>IBVS 5263 </t>
  </si>
  <si>
    <t>2451635.6427 </t>
  </si>
  <si>
    <t> 01.04.2000 03:25 </t>
  </si>
  <si>
    <t> 0.0478 </t>
  </si>
  <si>
    <t>IBVS 5287 </t>
  </si>
  <si>
    <t>2451731.48050 </t>
  </si>
  <si>
    <t> 05.07.2000 23:31 </t>
  </si>
  <si>
    <t> 0.02297 </t>
  </si>
  <si>
    <t>C </t>
  </si>
  <si>
    <t>o</t>
  </si>
  <si>
    <t> P.Hájek </t>
  </si>
  <si>
    <t>OEJV 0074 </t>
  </si>
  <si>
    <t>2452440.4012 </t>
  </si>
  <si>
    <t> 14.06.2002 21:37 </t>
  </si>
  <si>
    <t> -0.0135 </t>
  </si>
  <si>
    <t>IBVS 5583 </t>
  </si>
  <si>
    <t>2453277.6193 </t>
  </si>
  <si>
    <t> 29.09.2004 02:51 </t>
  </si>
  <si>
    <t> 0.0045 </t>
  </si>
  <si>
    <t> T.Krajci </t>
  </si>
  <si>
    <t>IBVS 5690 </t>
  </si>
  <si>
    <t>2453335.5456 </t>
  </si>
  <si>
    <t> 26.11.2004 01:05 </t>
  </si>
  <si>
    <t> -0.0128 </t>
  </si>
  <si>
    <t>2453345.5604 </t>
  </si>
  <si>
    <t> 06.12.2004 01:26 </t>
  </si>
  <si>
    <t> -0.0103 </t>
  </si>
  <si>
    <t>2453930.5013 </t>
  </si>
  <si>
    <t> 14.07.2006 00:01 </t>
  </si>
  <si>
    <t> -0.0443 </t>
  </si>
  <si>
    <t> W.Moschner </t>
  </si>
  <si>
    <t>BAVM 183 </t>
  </si>
  <si>
    <t>2453933.4788 </t>
  </si>
  <si>
    <t> 16.07.2006 23:29 </t>
  </si>
  <si>
    <t> -0.0492 </t>
  </si>
  <si>
    <t>2454003.3165 </t>
  </si>
  <si>
    <t> 24.09.2006 19:35 </t>
  </si>
  <si>
    <t> -0.0846 </t>
  </si>
  <si>
    <t>-I</t>
  </si>
  <si>
    <t> P.Frank </t>
  </si>
  <si>
    <t>2454029.3020 </t>
  </si>
  <si>
    <t> 20.10.2006 19:14 </t>
  </si>
  <si>
    <t>35206.5</t>
  </si>
  <si>
    <t> -0.0886 </t>
  </si>
  <si>
    <t>2455802.5293 </t>
  </si>
  <si>
    <t> 29.08.2011 00:42 </t>
  </si>
  <si>
    <t>39368.5</t>
  </si>
  <si>
    <t> -0.1063 </t>
  </si>
  <si>
    <t>BAVM 225 </t>
  </si>
  <si>
    <t>2456009.5979 </t>
  </si>
  <si>
    <t> 23.03.2012 02:20 </t>
  </si>
  <si>
    <t>39854.5</t>
  </si>
  <si>
    <t> -0.1010 </t>
  </si>
  <si>
    <t> W.Moschner &amp; P.Frank </t>
  </si>
  <si>
    <t>BAVM 228 </t>
  </si>
  <si>
    <t>2456179.3133 </t>
  </si>
  <si>
    <t> 08.09.2012 19:31 </t>
  </si>
  <si>
    <t>40253</t>
  </si>
  <si>
    <t> -0.1689 </t>
  </si>
  <si>
    <t>BAVM 231 </t>
  </si>
  <si>
    <t>2456179.5848 </t>
  </si>
  <si>
    <t> 09.09.2012 02:02 </t>
  </si>
  <si>
    <t>40253.5</t>
  </si>
  <si>
    <t> -0.1104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</si>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</sst>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applyFont="1" applyAlignment="1"/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V0907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3-4176-9DF7-76028326862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1">
                  <c:v>5.339000000822125E-2</c:v>
                </c:pt>
                <c:pt idx="14">
                  <c:v>6.0454000005847774E-2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3-4176-9DF7-76028326862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9">
                  <c:v>6.2250000002677552E-2</c:v>
                </c:pt>
                <c:pt idx="10">
                  <c:v>6.2258999998448417E-2</c:v>
                </c:pt>
                <c:pt idx="11">
                  <c:v>6.4261000006808899E-2</c:v>
                </c:pt>
                <c:pt idx="12">
                  <c:v>6.4385000005131587E-2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3-4176-9DF7-76028326862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2">
                  <c:v>5.180800000380259E-2</c:v>
                </c:pt>
                <c:pt idx="4">
                  <c:v>5.3894000004220288E-2</c:v>
                </c:pt>
                <c:pt idx="5">
                  <c:v>6.1055000005580951E-2</c:v>
                </c:pt>
                <c:pt idx="6">
                  <c:v>6.2821999999869149E-2</c:v>
                </c:pt>
                <c:pt idx="7">
                  <c:v>6.3388000002305489E-2</c:v>
                </c:pt>
                <c:pt idx="8">
                  <c:v>6.2991000006149989E-2</c:v>
                </c:pt>
                <c:pt idx="18">
                  <c:v>1.4983000008214731E-2</c:v>
                </c:pt>
                <c:pt idx="19">
                  <c:v>1.1804000001575332E-2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3-4176-9DF7-76028326862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3-4176-9DF7-76028326862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3-4176-9DF7-76028326862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3-4176-9DF7-76028326862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3.5152103519500932E-2</c:v>
                </c:pt>
                <c:pt idx="1">
                  <c:v>4.8797852921337072E-2</c:v>
                </c:pt>
                <c:pt idx="2">
                  <c:v>4.8804406217273333E-2</c:v>
                </c:pt>
                <c:pt idx="3">
                  <c:v>4.9024835262402325E-2</c:v>
                </c:pt>
                <c:pt idx="4">
                  <c:v>4.9130283751558618E-2</c:v>
                </c:pt>
                <c:pt idx="5">
                  <c:v>4.9910423845062411E-2</c:v>
                </c:pt>
                <c:pt idx="6">
                  <c:v>5.0831757678283962E-2</c:v>
                </c:pt>
                <c:pt idx="7">
                  <c:v>5.0895503375118556E-2</c:v>
                </c:pt>
                <c:pt idx="8">
                  <c:v>5.090652482737501E-2</c:v>
                </c:pt>
                <c:pt idx="9">
                  <c:v>5.1550237214569243E-2</c:v>
                </c:pt>
                <c:pt idx="10">
                  <c:v>5.1553513862537377E-2</c:v>
                </c:pt>
                <c:pt idx="11">
                  <c:v>5.1630366151244514E-2</c:v>
                </c:pt>
                <c:pt idx="12">
                  <c:v>5.1658962351693677E-2</c:v>
                </c:pt>
                <c:pt idx="13">
                  <c:v>5.3542290240650429E-2</c:v>
                </c:pt>
                <c:pt idx="14">
                  <c:v>5.3610355155261205E-2</c:v>
                </c:pt>
                <c:pt idx="15">
                  <c:v>5.3838231127590494E-2</c:v>
                </c:pt>
                <c:pt idx="16">
                  <c:v>5.4025000061774103E-2</c:v>
                </c:pt>
                <c:pt idx="17">
                  <c:v>5.4025297938862113E-2</c:v>
                </c:pt>
                <c:pt idx="18">
                  <c:v>3.5152107982593342E-2</c:v>
                </c:pt>
                <c:pt idx="19">
                  <c:v>3.5152107035642081E-2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3-4176-9DF7-76028326862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3">
                  <c:v>3.7167999995290302E-2</c:v>
                </c:pt>
                <c:pt idx="15">
                  <c:v>5.8089000005566049E-2</c:v>
                </c:pt>
                <c:pt idx="16">
                  <c:v>5.6501999999454711E-2</c:v>
                </c:pt>
                <c:pt idx="17">
                  <c:v>5.7321000000229105E-2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3-4176-9DF7-760283268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9648"/>
        <c:axId val="1"/>
      </c:scatterChart>
      <c:valAx>
        <c:axId val="71107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V0907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BF-4E4E-8B5F-39C0DDD2825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1">
                  <c:v>5.339000000822125E-2</c:v>
                </c:pt>
                <c:pt idx="14">
                  <c:v>6.0454000005847774E-2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BF-4E4E-8B5F-39C0DDD2825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9">
                  <c:v>6.2250000002677552E-2</c:v>
                </c:pt>
                <c:pt idx="10">
                  <c:v>6.2258999998448417E-2</c:v>
                </c:pt>
                <c:pt idx="11">
                  <c:v>6.4261000006808899E-2</c:v>
                </c:pt>
                <c:pt idx="12">
                  <c:v>6.4385000005131587E-2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BF-4E4E-8B5F-39C0DDD2825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2">
                  <c:v>5.180800000380259E-2</c:v>
                </c:pt>
                <c:pt idx="4">
                  <c:v>5.3894000004220288E-2</c:v>
                </c:pt>
                <c:pt idx="5">
                  <c:v>6.1055000005580951E-2</c:v>
                </c:pt>
                <c:pt idx="6">
                  <c:v>6.2821999999869149E-2</c:v>
                </c:pt>
                <c:pt idx="7">
                  <c:v>6.3388000002305489E-2</c:v>
                </c:pt>
                <c:pt idx="8">
                  <c:v>6.2991000006149989E-2</c:v>
                </c:pt>
                <c:pt idx="18">
                  <c:v>1.4983000008214731E-2</c:v>
                </c:pt>
                <c:pt idx="19">
                  <c:v>1.1804000001575332E-2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BF-4E4E-8B5F-39C0DDD2825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BF-4E4E-8B5F-39C0DDD2825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BF-4E4E-8B5F-39C0DDD2825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1.2999999999999999E-3</c:v>
                  </c:pt>
                  <c:pt idx="18">
                    <c:v>8.0000000000000004E-4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BF-4E4E-8B5F-39C0DDD2825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61966</c:v>
                </c:pt>
                <c:pt idx="15">
                  <c:v>62731</c:v>
                </c:pt>
                <c:pt idx="16">
                  <c:v>63358</c:v>
                </c:pt>
                <c:pt idx="17">
                  <c:v>63359</c:v>
                </c:pt>
                <c:pt idx="18">
                  <c:v>75557</c:v>
                </c:pt>
                <c:pt idx="19">
                  <c:v>75616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3.5152103519500932E-2</c:v>
                </c:pt>
                <c:pt idx="1">
                  <c:v>4.8797852921337072E-2</c:v>
                </c:pt>
                <c:pt idx="2">
                  <c:v>4.8804406217273333E-2</c:v>
                </c:pt>
                <c:pt idx="3">
                  <c:v>4.9024835262402325E-2</c:v>
                </c:pt>
                <c:pt idx="4">
                  <c:v>4.9130283751558618E-2</c:v>
                </c:pt>
                <c:pt idx="5">
                  <c:v>4.9910423845062411E-2</c:v>
                </c:pt>
                <c:pt idx="6">
                  <c:v>5.0831757678283962E-2</c:v>
                </c:pt>
                <c:pt idx="7">
                  <c:v>5.0895503375118556E-2</c:v>
                </c:pt>
                <c:pt idx="8">
                  <c:v>5.090652482737501E-2</c:v>
                </c:pt>
                <c:pt idx="9">
                  <c:v>5.1550237214569243E-2</c:v>
                </c:pt>
                <c:pt idx="10">
                  <c:v>5.1553513862537377E-2</c:v>
                </c:pt>
                <c:pt idx="11">
                  <c:v>5.1630366151244514E-2</c:v>
                </c:pt>
                <c:pt idx="12">
                  <c:v>5.1658962351693677E-2</c:v>
                </c:pt>
                <c:pt idx="13">
                  <c:v>5.3542290240650429E-2</c:v>
                </c:pt>
                <c:pt idx="14">
                  <c:v>5.3610355155261205E-2</c:v>
                </c:pt>
                <c:pt idx="15">
                  <c:v>5.3838231127590494E-2</c:v>
                </c:pt>
                <c:pt idx="16">
                  <c:v>5.4025000061774103E-2</c:v>
                </c:pt>
                <c:pt idx="17">
                  <c:v>5.4025297938862113E-2</c:v>
                </c:pt>
                <c:pt idx="18">
                  <c:v>3.5152107982593342E-2</c:v>
                </c:pt>
                <c:pt idx="19">
                  <c:v>3.5152107035642081E-2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BF-4E4E-8B5F-39C0DDD2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964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45810</c:v>
                      </c:pt>
                      <c:pt idx="2">
                        <c:v>45832</c:v>
                      </c:pt>
                      <c:pt idx="3">
                        <c:v>46572</c:v>
                      </c:pt>
                      <c:pt idx="4">
                        <c:v>46926</c:v>
                      </c:pt>
                      <c:pt idx="5">
                        <c:v>49545</c:v>
                      </c:pt>
                      <c:pt idx="6">
                        <c:v>52638</c:v>
                      </c:pt>
                      <c:pt idx="7">
                        <c:v>52852</c:v>
                      </c:pt>
                      <c:pt idx="8">
                        <c:v>52889</c:v>
                      </c:pt>
                      <c:pt idx="9">
                        <c:v>55050</c:v>
                      </c:pt>
                      <c:pt idx="10">
                        <c:v>55061</c:v>
                      </c:pt>
                      <c:pt idx="11">
                        <c:v>55319</c:v>
                      </c:pt>
                      <c:pt idx="12">
                        <c:v>55415</c:v>
                      </c:pt>
                      <c:pt idx="13">
                        <c:v>61737.5</c:v>
                      </c:pt>
                      <c:pt idx="14">
                        <c:v>61966</c:v>
                      </c:pt>
                      <c:pt idx="15">
                        <c:v>62731</c:v>
                      </c:pt>
                      <c:pt idx="16">
                        <c:v>63358</c:v>
                      </c:pt>
                      <c:pt idx="17">
                        <c:v>63359</c:v>
                      </c:pt>
                      <c:pt idx="18">
                        <c:v>75557</c:v>
                      </c:pt>
                      <c:pt idx="19">
                        <c:v>75616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3">
                        <c:v>3.7167999995290302E-2</c:v>
                      </c:pt>
                      <c:pt idx="15">
                        <c:v>5.8089000005566049E-2</c:v>
                      </c:pt>
                      <c:pt idx="16">
                        <c:v>5.6501999999454711E-2</c:v>
                      </c:pt>
                      <c:pt idx="17">
                        <c:v>5.7321000000229105E-2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B7BF-4E4E-8B5F-39C0DDD28254}"/>
                  </c:ext>
                </c:extLst>
              </c15:ser>
            </c15:filteredScatterSeries>
          </c:ext>
        </c:extLst>
      </c:scatterChart>
      <c:valAx>
        <c:axId val="71107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V0907 Cyg - O-C Diagr.</a:t>
            </a:r>
          </a:p>
        </c:rich>
      </c:tx>
      <c:layout>
        <c:manualLayout>
          <c:xMode val="edge"/>
          <c:yMode val="edge"/>
          <c:x val="0.35702780286551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8B-4FDA-A6E4-FE9E9ECAD5D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2">
                  <c:v>5.180800000380259E-2</c:v>
                </c:pt>
                <c:pt idx="3">
                  <c:v>3.7167999995290302E-2</c:v>
                </c:pt>
                <c:pt idx="5">
                  <c:v>6.1055000005580951E-2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B-4FDA-A6E4-FE9E9ECAD5D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6">
                  <c:v>6.2821999999869149E-2</c:v>
                </c:pt>
                <c:pt idx="7">
                  <c:v>6.3388000002305489E-2</c:v>
                </c:pt>
                <c:pt idx="8">
                  <c:v>6.2991000006149989E-2</c:v>
                </c:pt>
                <c:pt idx="9">
                  <c:v>6.2250000002677552E-2</c:v>
                </c:pt>
                <c:pt idx="10">
                  <c:v>6.2258999998448417E-2</c:v>
                </c:pt>
                <c:pt idx="11">
                  <c:v>6.4261000006808899E-2</c:v>
                </c:pt>
                <c:pt idx="12">
                  <c:v>6.4385000005131587E-2</c:v>
                </c:pt>
                <c:pt idx="13">
                  <c:v>-3.2037500001024455E-2</c:v>
                </c:pt>
                <c:pt idx="14">
                  <c:v>5.8089000005566049E-2</c:v>
                </c:pt>
                <c:pt idx="15">
                  <c:v>5.6501999999454711E-2</c:v>
                </c:pt>
                <c:pt idx="16">
                  <c:v>5.7321000000229105E-2</c:v>
                </c:pt>
                <c:pt idx="17">
                  <c:v>1.4983000008214731E-2</c:v>
                </c:pt>
                <c:pt idx="18">
                  <c:v>1.1804000001575332E-2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8B-4FDA-A6E4-FE9E9ECAD5D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8B-4FDA-A6E4-FE9E9ECAD5D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8B-4FDA-A6E4-FE9E9ECAD5D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8B-4FDA-A6E4-FE9E9ECAD5D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8.0000000000000004E-4</c:v>
                  </c:pt>
                  <c:pt idx="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">
                  <c:v>5.339000000822125E-2</c:v>
                </c:pt>
                <c:pt idx="4">
                  <c:v>5.3894000004220288E-2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8B-4FDA-A6E4-FE9E9ECAD5D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45810</c:v>
                </c:pt>
                <c:pt idx="2">
                  <c:v>45832</c:v>
                </c:pt>
                <c:pt idx="3">
                  <c:v>46572</c:v>
                </c:pt>
                <c:pt idx="4">
                  <c:v>46926</c:v>
                </c:pt>
                <c:pt idx="5">
                  <c:v>49545</c:v>
                </c:pt>
                <c:pt idx="6">
                  <c:v>52638</c:v>
                </c:pt>
                <c:pt idx="7">
                  <c:v>52852</c:v>
                </c:pt>
                <c:pt idx="8">
                  <c:v>52889</c:v>
                </c:pt>
                <c:pt idx="9">
                  <c:v>55050</c:v>
                </c:pt>
                <c:pt idx="10">
                  <c:v>55061</c:v>
                </c:pt>
                <c:pt idx="11">
                  <c:v>55319</c:v>
                </c:pt>
                <c:pt idx="12">
                  <c:v>55415</c:v>
                </c:pt>
                <c:pt idx="13">
                  <c:v>61737.5</c:v>
                </c:pt>
                <c:pt idx="14">
                  <c:v>62731</c:v>
                </c:pt>
                <c:pt idx="15">
                  <c:v>63358</c:v>
                </c:pt>
                <c:pt idx="16">
                  <c:v>63359</c:v>
                </c:pt>
                <c:pt idx="17">
                  <c:v>75557</c:v>
                </c:pt>
                <c:pt idx="18">
                  <c:v>75616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0.12611510914957336</c:v>
                </c:pt>
                <c:pt idx="1">
                  <c:v>6.283914600488047E-2</c:v>
                </c:pt>
                <c:pt idx="2">
                  <c:v>6.2808758072350826E-2</c:v>
                </c:pt>
                <c:pt idx="3">
                  <c:v>6.1786618523626255E-2</c:v>
                </c:pt>
                <c:pt idx="4">
                  <c:v>6.1297649063830978E-2</c:v>
                </c:pt>
                <c:pt idx="5">
                  <c:v>5.7680103823142259E-2</c:v>
                </c:pt>
                <c:pt idx="6">
                  <c:v>5.3407836763405617E-2</c:v>
                </c:pt>
                <c:pt idx="7">
                  <c:v>5.3112245056071761E-2</c:v>
                </c:pt>
                <c:pt idx="8">
                  <c:v>5.3061138078635536E-2</c:v>
                </c:pt>
                <c:pt idx="9">
                  <c:v>5.0076214342427691E-2</c:v>
                </c:pt>
                <c:pt idx="10">
                  <c:v>5.0061020376162862E-2</c:v>
                </c:pt>
                <c:pt idx="11">
                  <c:v>4.9704652803769706E-2</c:v>
                </c:pt>
                <c:pt idx="12">
                  <c:v>4.9572050916367599E-2</c:v>
                </c:pt>
                <c:pt idx="13">
                  <c:v>4.0838973488244459E-2</c:v>
                </c:pt>
                <c:pt idx="14">
                  <c:v>3.9466682080598697E-2</c:v>
                </c:pt>
                <c:pt idx="15">
                  <c:v>3.8600626003503682E-2</c:v>
                </c:pt>
                <c:pt idx="16">
                  <c:v>3.8599244733843255E-2</c:v>
                </c:pt>
                <c:pt idx="17">
                  <c:v>2.1750517415813048E-2</c:v>
                </c:pt>
                <c:pt idx="18">
                  <c:v>2.1669022505847166E-2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8B-4FDA-A6E4-FE9E9ECA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55000"/>
        <c:axId val="1"/>
      </c:scatterChart>
      <c:valAx>
        <c:axId val="50035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35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V907 Cyg - O-C Diagr.</a:t>
            </a:r>
          </a:p>
        </c:rich>
      </c:tx>
      <c:layout>
        <c:manualLayout>
          <c:xMode val="edge"/>
          <c:yMode val="edge"/>
          <c:x val="0.3634898384067096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5-42B0-AF60-D9141C55349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2">
                  <c:v>4.7919999997247942E-3</c:v>
                </c:pt>
                <c:pt idx="3">
                  <c:v>4.7771999998076353E-2</c:v>
                </c:pt>
                <c:pt idx="5">
                  <c:v>-1.3511999997717794E-2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5-42B0-AF60-D9141C55349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6">
                  <c:v>4.5480000044335611E-3</c:v>
                </c:pt>
                <c:pt idx="7">
                  <c:v>-1.2768000000505708E-2</c:v>
                </c:pt>
                <c:pt idx="8">
                  <c:v>-1.0283999996318016E-2</c:v>
                </c:pt>
                <c:pt idx="9">
                  <c:v>-4.4271999991906341E-2</c:v>
                </c:pt>
                <c:pt idx="10">
                  <c:v>-4.916399999638088E-2</c:v>
                </c:pt>
                <c:pt idx="11">
                  <c:v>-8.4647999996377621E-2</c:v>
                </c:pt>
                <c:pt idx="12">
                  <c:v>-8.8563999997859355E-2</c:v>
                </c:pt>
                <c:pt idx="13">
                  <c:v>-0.10095200000068871</c:v>
                </c:pt>
                <c:pt idx="14">
                  <c:v>4.416000000492204E-2</c:v>
                </c:pt>
                <c:pt idx="15">
                  <c:v>0.10263200000190409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55-42B0-AF60-D9141C55349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55-42B0-AF60-D9141C55349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55-42B0-AF60-D9141C55349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55-42B0-AF60-D9141C55349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'A (old)'!$D$21:$D$995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5.0000000000000001E-3</c:v>
                  </c:pt>
                  <c:pt idx="2">
                    <c:v>3.2000000000000002E-3</c:v>
                  </c:pt>
                  <c:pt idx="3">
                    <c:v>8.0999999999999996E-3</c:v>
                  </c:pt>
                  <c:pt idx="4">
                    <c:v>0</c:v>
                  </c:pt>
                  <c:pt idx="5">
                    <c:v>4.1999999999999997E-3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2.2000000000000001E-3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1">
                  <c:v>1.6176000004634261E-2</c:v>
                </c:pt>
                <c:pt idx="4">
                  <c:v>2.2971999998844694E-2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55-42B0-AF60-D9141C55349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29104</c:v>
                </c:pt>
                <c:pt idx="2">
                  <c:v>29118</c:v>
                </c:pt>
                <c:pt idx="3">
                  <c:v>29588</c:v>
                </c:pt>
                <c:pt idx="4">
                  <c:v>29813</c:v>
                </c:pt>
                <c:pt idx="5">
                  <c:v>31477</c:v>
                </c:pt>
                <c:pt idx="6">
                  <c:v>33442</c:v>
                </c:pt>
                <c:pt idx="7">
                  <c:v>33578</c:v>
                </c:pt>
                <c:pt idx="8">
                  <c:v>33601.5</c:v>
                </c:pt>
                <c:pt idx="9">
                  <c:v>34974.5</c:v>
                </c:pt>
                <c:pt idx="10">
                  <c:v>34981.5</c:v>
                </c:pt>
                <c:pt idx="11">
                  <c:v>35145.5</c:v>
                </c:pt>
                <c:pt idx="12">
                  <c:v>35206.5</c:v>
                </c:pt>
                <c:pt idx="13">
                  <c:v>39854.5</c:v>
                </c:pt>
                <c:pt idx="14">
                  <c:v>40252.5</c:v>
                </c:pt>
                <c:pt idx="15">
                  <c:v>40253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4.343449839068747E-2</c:v>
                </c:pt>
                <c:pt idx="1">
                  <c:v>-2.9041670098078967E-3</c:v>
                </c:pt>
                <c:pt idx="2">
                  <c:v>-2.9264574618284717E-3</c:v>
                </c:pt>
                <c:pt idx="3">
                  <c:v>-3.6747797796621989E-3</c:v>
                </c:pt>
                <c:pt idx="4">
                  <c:v>-4.0330191871357918E-3</c:v>
                </c:pt>
                <c:pt idx="5">
                  <c:v>-6.6823986272960545E-3</c:v>
                </c:pt>
                <c:pt idx="6">
                  <c:v>-9.8110227858987722E-3</c:v>
                </c:pt>
                <c:pt idx="7">
                  <c:v>-1.0027558605527252E-2</c:v>
                </c:pt>
                <c:pt idx="8">
                  <c:v>-1.0064974721418943E-2</c:v>
                </c:pt>
                <c:pt idx="9">
                  <c:v>-1.2251031194580021E-2</c:v>
                </c:pt>
                <c:pt idx="10">
                  <c:v>-1.2262176420590312E-2</c:v>
                </c:pt>
                <c:pt idx="11">
                  <c:v>-1.2523293144259956E-2</c:v>
                </c:pt>
                <c:pt idx="12">
                  <c:v>-1.2620415828063905E-2</c:v>
                </c:pt>
                <c:pt idx="13">
                  <c:v>-2.0020845898896175E-2</c:v>
                </c:pt>
                <c:pt idx="14">
                  <c:v>-2.0654531606338358E-2</c:v>
                </c:pt>
                <c:pt idx="15">
                  <c:v>-2.0655327693910513E-2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55-42B0-AF60-D9141C553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9976"/>
        <c:axId val="1"/>
      </c:scatterChart>
      <c:valAx>
        <c:axId val="71107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285962033421104"/>
          <c:y val="0.91925596256989606"/>
          <c:w val="0.9192252341639848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171451</xdr:colOff>
      <xdr:row>0</xdr:row>
      <xdr:rowOff>0</xdr:rowOff>
    </xdr:from>
    <xdr:to>
      <xdr:col>17</xdr:col>
      <xdr:colOff>400051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55B126D-06FC-13C1-2968-B651768F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1</xdr:rowOff>
    </xdr:from>
    <xdr:to>
      <xdr:col>27</xdr:col>
      <xdr:colOff>266700</xdr:colOff>
      <xdr:row>17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DBDE9-3AF9-4C47-854A-1550017C9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28575</xdr:rowOff>
    </xdr:from>
    <xdr:to>
      <xdr:col>17</xdr:col>
      <xdr:colOff>314325</xdr:colOff>
      <xdr:row>18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A6F5A94-F695-43D3-0569-2896699C4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15</xdr:col>
      <xdr:colOff>247650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D53D2F-A25A-E0A2-9177-6B3DBBA9D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90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90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04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50</v>
      </c>
    </row>
    <row r="2" spans="1:6" x14ac:dyDescent="0.2">
      <c r="A2" t="s">
        <v>24</v>
      </c>
      <c r="B2" s="10" t="s">
        <v>29</v>
      </c>
    </row>
    <row r="4" spans="1:6" ht="14.25" thickTop="1" thickBot="1" x14ac:dyDescent="0.25">
      <c r="A4" s="7" t="s">
        <v>0</v>
      </c>
      <c r="C4" s="3">
        <v>39029.449999999997</v>
      </c>
      <c r="D4" s="4">
        <v>0.42605599999999999</v>
      </c>
    </row>
    <row r="5" spans="1:6" ht="13.5" thickTop="1" x14ac:dyDescent="0.2">
      <c r="A5" s="21" t="s">
        <v>39</v>
      </c>
      <c r="B5" s="10"/>
      <c r="C5" s="22">
        <v>-9.5</v>
      </c>
      <c r="D5" s="10" t="s">
        <v>40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39029.449999999997</v>
      </c>
    </row>
    <row r="8" spans="1:6" x14ac:dyDescent="0.2">
      <c r="A8" t="s">
        <v>3</v>
      </c>
      <c r="C8" s="44">
        <v>0.270681</v>
      </c>
      <c r="D8" s="43" t="s">
        <v>53</v>
      </c>
    </row>
    <row r="9" spans="1:6" x14ac:dyDescent="0.2">
      <c r="A9" s="36" t="s">
        <v>47</v>
      </c>
      <c r="B9" s="37">
        <v>21</v>
      </c>
      <c r="C9" s="35" t="str">
        <f>"F"&amp;B9</f>
        <v>F21</v>
      </c>
      <c r="D9" s="13" t="str">
        <f>"G"&amp;B9</f>
        <v>G21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34">
        <f ca="1">INTERCEPT(INDIRECT($D$9):G992,INDIRECT($C$9):F992)</f>
        <v>3.5152103519500932E-2</v>
      </c>
      <c r="D11" s="5"/>
      <c r="E11" s="10"/>
    </row>
    <row r="12" spans="1:6" x14ac:dyDescent="0.2">
      <c r="A12" s="10" t="s">
        <v>17</v>
      </c>
      <c r="B12" s="10"/>
      <c r="C12" s="34">
        <f ca="1">SLOPE(INDIRECT($D$9):G992,INDIRECT($C$9):F992)</f>
        <v>2.9787708801214009E-7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23" t="s">
        <v>18</v>
      </c>
      <c r="B15" s="10"/>
      <c r="C15" s="24">
        <f ca="1">(C7+C11)+(C8+C12)*INT(MAX(F21:F3533))</f>
        <v>59497.322172377404</v>
      </c>
      <c r="E15" s="5"/>
      <c r="F15" s="10"/>
    </row>
    <row r="16" spans="1:6" x14ac:dyDescent="0.2">
      <c r="A16" s="27" t="s">
        <v>4</v>
      </c>
      <c r="B16" s="10"/>
      <c r="C16" s="28">
        <f ca="1">+C8+C12</f>
        <v>0.270681297877088</v>
      </c>
      <c r="E16" s="10"/>
      <c r="F16" s="10"/>
    </row>
    <row r="17" spans="1:21" ht="13.5" thickBot="1" x14ac:dyDescent="0.25">
      <c r="A17" s="25" t="s">
        <v>43</v>
      </c>
      <c r="B17" s="10"/>
      <c r="C17" s="10">
        <f>COUNT(C21:C2191)</f>
        <v>20</v>
      </c>
      <c r="E17" s="25" t="s">
        <v>41</v>
      </c>
      <c r="F17" s="26">
        <f ca="1">TODAY()+15018.5-B5/24</f>
        <v>60342.5</v>
      </c>
    </row>
    <row r="18" spans="1:21" ht="14.25" thickTop="1" thickBot="1" x14ac:dyDescent="0.25">
      <c r="A18" s="27" t="s">
        <v>5</v>
      </c>
      <c r="B18" s="10"/>
      <c r="C18" s="30">
        <f ca="1">+C15</f>
        <v>59497.322172377404</v>
      </c>
      <c r="D18" s="31">
        <f ca="1">+C16</f>
        <v>0.270681297877088</v>
      </c>
      <c r="E18" s="25" t="s">
        <v>42</v>
      </c>
      <c r="F18" s="26">
        <f ca="1">ROUND(2*(F17-C15)/C16,0)/2+1</f>
        <v>3123.5</v>
      </c>
    </row>
    <row r="19" spans="1:21" ht="13.5" thickTop="1" x14ac:dyDescent="0.2">
      <c r="E19" s="25" t="s">
        <v>44</v>
      </c>
      <c r="F19" s="29">
        <f ca="1">+C15+C16*F18-15018.5-C5/24</f>
        <v>45324.691039629826</v>
      </c>
      <c r="S19">
        <f ca="1">SQRT(SUM(S22:S36)/(COUNT(S22:S36)-1))</f>
        <v>1.7971932411808639E-2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61</v>
      </c>
      <c r="I20" s="9" t="s">
        <v>64</v>
      </c>
      <c r="J20" s="9" t="s">
        <v>58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R20" s="5"/>
      <c r="U20" s="45" t="s">
        <v>54</v>
      </c>
    </row>
    <row r="21" spans="1:21" x14ac:dyDescent="0.2">
      <c r="A21" t="s">
        <v>12</v>
      </c>
      <c r="C21" s="18">
        <v>39029.449999999997</v>
      </c>
      <c r="D21" s="18" t="s">
        <v>14</v>
      </c>
      <c r="E21">
        <f t="shared" ref="E21:E40" si="0">+(C21-C$7)/C$8</f>
        <v>0</v>
      </c>
      <c r="F21">
        <f t="shared" ref="F21:F40" si="1">ROUND(2*E21,0)/2</f>
        <v>0</v>
      </c>
      <c r="G21">
        <f>+C21-(C$7+F21*C$8)</f>
        <v>0</v>
      </c>
      <c r="H21" s="14">
        <f>G21</f>
        <v>0</v>
      </c>
      <c r="O21">
        <f t="shared" ref="O21:O38" ca="1" si="2">+C$11+C$12*$F21</f>
        <v>3.5152103519500932E-2</v>
      </c>
      <c r="Q21" s="2">
        <f t="shared" ref="Q21:Q40" si="3">+C21-15018.5</f>
        <v>24010.949999999997</v>
      </c>
      <c r="R21" s="2"/>
    </row>
    <row r="22" spans="1:21" x14ac:dyDescent="0.2">
      <c r="A22" s="14" t="s">
        <v>35</v>
      </c>
      <c r="C22" s="19">
        <v>51429.4</v>
      </c>
      <c r="D22" s="19">
        <v>5.0000000000000001E-3</v>
      </c>
      <c r="E22">
        <f t="shared" si="0"/>
        <v>45810.197243249451</v>
      </c>
      <c r="F22">
        <f t="shared" si="1"/>
        <v>45810</v>
      </c>
      <c r="G22">
        <f>+C22-(C$7+F22*C$8)</f>
        <v>5.339000000822125E-2</v>
      </c>
      <c r="I22">
        <f>G22</f>
        <v>5.339000000822125E-2</v>
      </c>
      <c r="O22">
        <f t="shared" ca="1" si="2"/>
        <v>4.8797852921337072E-2</v>
      </c>
      <c r="Q22" s="2">
        <f t="shared" si="3"/>
        <v>36410.9</v>
      </c>
      <c r="R22" s="2"/>
      <c r="S22">
        <f ca="1">+(O22-G22)^2</f>
        <v>2.1087814867578843E-5</v>
      </c>
    </row>
    <row r="23" spans="1:21" x14ac:dyDescent="0.2">
      <c r="A23" s="15" t="s">
        <v>30</v>
      </c>
      <c r="B23" s="11" t="s">
        <v>31</v>
      </c>
      <c r="C23" s="20">
        <v>51435.3534</v>
      </c>
      <c r="D23" s="20">
        <v>3.2000000000000002E-3</v>
      </c>
      <c r="E23">
        <f t="shared" si="0"/>
        <v>45832.19139873136</v>
      </c>
      <c r="F23">
        <f t="shared" si="1"/>
        <v>45832</v>
      </c>
      <c r="G23">
        <f>+C23-(C$7+F23*C$8)</f>
        <v>5.180800000380259E-2</v>
      </c>
      <c r="K23">
        <f>+G23</f>
        <v>5.180800000380259E-2</v>
      </c>
      <c r="O23">
        <f t="shared" ca="1" si="2"/>
        <v>4.8804406217273333E-2</v>
      </c>
      <c r="Q23" s="2">
        <f t="shared" si="3"/>
        <v>36416.8534</v>
      </c>
      <c r="R23" s="2"/>
      <c r="S23">
        <f ca="1">+(O23-G23)^2</f>
        <v>9.0215756344771613E-6</v>
      </c>
    </row>
    <row r="24" spans="1:21" x14ac:dyDescent="0.2">
      <c r="A24" s="15" t="s">
        <v>32</v>
      </c>
      <c r="B24" s="11" t="s">
        <v>31</v>
      </c>
      <c r="C24" s="20">
        <v>51635.642699999997</v>
      </c>
      <c r="D24" s="20">
        <v>8.0999999999999996E-3</v>
      </c>
      <c r="E24">
        <f t="shared" si="0"/>
        <v>46572.137312925544</v>
      </c>
      <c r="F24">
        <f t="shared" si="1"/>
        <v>46572</v>
      </c>
      <c r="O24">
        <f t="shared" ca="1" si="2"/>
        <v>4.9024835262402325E-2</v>
      </c>
      <c r="Q24" s="2">
        <f t="shared" si="3"/>
        <v>36617.142699999997</v>
      </c>
      <c r="R24" s="2"/>
      <c r="S24">
        <f ca="1">+(O24-U24)^2</f>
        <v>1.4058454255143143E-4</v>
      </c>
      <c r="U24">
        <f>+C24-(C$7+F24*C$8)</f>
        <v>3.7167999995290302E-2</v>
      </c>
    </row>
    <row r="25" spans="1:21" x14ac:dyDescent="0.2">
      <c r="A25" s="38" t="s">
        <v>48</v>
      </c>
      <c r="B25" s="39" t="s">
        <v>31</v>
      </c>
      <c r="C25" s="38">
        <v>51731.480499999998</v>
      </c>
      <c r="D25" s="38" t="s">
        <v>49</v>
      </c>
      <c r="E25">
        <f t="shared" si="0"/>
        <v>46926.199105219799</v>
      </c>
      <c r="F25">
        <f t="shared" si="1"/>
        <v>46926</v>
      </c>
      <c r="G25">
        <f t="shared" ref="G25:G33" si="4">+C25-(C$7+F25*C$8)</f>
        <v>5.3894000004220288E-2</v>
      </c>
      <c r="K25">
        <f>+G25</f>
        <v>5.3894000004220288E-2</v>
      </c>
      <c r="O25">
        <f t="shared" ca="1" si="2"/>
        <v>4.9130283751558618E-2</v>
      </c>
      <c r="Q25" s="2">
        <f t="shared" si="3"/>
        <v>36712.980499999998</v>
      </c>
      <c r="R25" s="2"/>
      <c r="S25">
        <f t="shared" ref="S25:S33" ca="1" si="5">+(O25-G25)^2</f>
        <v>2.269299253587295E-5</v>
      </c>
    </row>
    <row r="26" spans="1:21" x14ac:dyDescent="0.2">
      <c r="A26" s="12" t="s">
        <v>33</v>
      </c>
      <c r="B26" s="11" t="s">
        <v>31</v>
      </c>
      <c r="C26" s="20">
        <v>52440.4012</v>
      </c>
      <c r="D26" s="20">
        <v>4.1999999999999997E-3</v>
      </c>
      <c r="E26">
        <f t="shared" si="0"/>
        <v>49545.225560715393</v>
      </c>
      <c r="F26">
        <f t="shared" si="1"/>
        <v>49545</v>
      </c>
      <c r="G26">
        <f t="shared" si="4"/>
        <v>6.1055000005580951E-2</v>
      </c>
      <c r="K26">
        <f>+G26</f>
        <v>6.1055000005580951E-2</v>
      </c>
      <c r="O26">
        <f t="shared" ca="1" si="2"/>
        <v>4.9910423845062411E-2</v>
      </c>
      <c r="Q26" s="2">
        <f t="shared" si="3"/>
        <v>37421.9012</v>
      </c>
      <c r="R26" s="2"/>
      <c r="S26">
        <f t="shared" ca="1" si="5"/>
        <v>1.2420157779759815E-4</v>
      </c>
    </row>
    <row r="27" spans="1:21" x14ac:dyDescent="0.2">
      <c r="A27" s="16" t="s">
        <v>38</v>
      </c>
      <c r="B27" s="5" t="s">
        <v>31</v>
      </c>
      <c r="C27" s="19">
        <v>53277.619299999998</v>
      </c>
      <c r="D27" s="19">
        <v>5.9999999999999995E-4</v>
      </c>
      <c r="E27">
        <f t="shared" si="0"/>
        <v>52638.232088694815</v>
      </c>
      <c r="F27">
        <f t="shared" si="1"/>
        <v>52638</v>
      </c>
      <c r="G27">
        <f t="shared" si="4"/>
        <v>6.2821999999869149E-2</v>
      </c>
      <c r="K27">
        <f>+G27</f>
        <v>6.2821999999869149E-2</v>
      </c>
      <c r="O27">
        <f t="shared" ca="1" si="2"/>
        <v>5.0831757678283962E-2</v>
      </c>
      <c r="Q27" s="2">
        <f t="shared" si="3"/>
        <v>38259.119299999998</v>
      </c>
      <c r="R27" s="2"/>
      <c r="S27">
        <f t="shared" ca="1" si="5"/>
        <v>1.4376591093033254E-4</v>
      </c>
    </row>
    <row r="28" spans="1:21" x14ac:dyDescent="0.2">
      <c r="A28" s="16" t="s">
        <v>38</v>
      </c>
      <c r="B28" s="5" t="s">
        <v>31</v>
      </c>
      <c r="C28" s="19">
        <v>53335.545599999998</v>
      </c>
      <c r="D28" s="19">
        <v>5.0000000000000001E-4</v>
      </c>
      <c r="E28">
        <f t="shared" si="0"/>
        <v>52852.234179717088</v>
      </c>
      <c r="F28">
        <f t="shared" si="1"/>
        <v>52852</v>
      </c>
      <c r="G28">
        <f t="shared" si="4"/>
        <v>6.3388000002305489E-2</v>
      </c>
      <c r="K28">
        <f>+G28</f>
        <v>6.3388000002305489E-2</v>
      </c>
      <c r="O28">
        <f t="shared" ca="1" si="2"/>
        <v>5.0895503375118556E-2</v>
      </c>
      <c r="Q28" s="2">
        <f t="shared" si="3"/>
        <v>38317.045599999998</v>
      </c>
      <c r="R28" s="2"/>
      <c r="S28">
        <f t="shared" ca="1" si="5"/>
        <v>1.5606247198027691E-4</v>
      </c>
    </row>
    <row r="29" spans="1:21" x14ac:dyDescent="0.2">
      <c r="A29" s="16" t="s">
        <v>38</v>
      </c>
      <c r="B29" s="5" t="s">
        <v>37</v>
      </c>
      <c r="C29" s="19">
        <v>53345.560400000002</v>
      </c>
      <c r="D29" s="19">
        <v>4.0000000000000002E-4</v>
      </c>
      <c r="E29">
        <f t="shared" si="0"/>
        <v>52889.232713046003</v>
      </c>
      <c r="F29">
        <f t="shared" si="1"/>
        <v>52889</v>
      </c>
      <c r="G29">
        <f t="shared" si="4"/>
        <v>6.2991000006149989E-2</v>
      </c>
      <c r="K29">
        <f>+G29</f>
        <v>6.2991000006149989E-2</v>
      </c>
      <c r="O29">
        <f t="shared" ca="1" si="2"/>
        <v>5.090652482737501E-2</v>
      </c>
      <c r="Q29" s="2">
        <f t="shared" si="3"/>
        <v>38327.060400000002</v>
      </c>
      <c r="R29" s="2"/>
      <c r="S29">
        <f t="shared" ca="1" si="5"/>
        <v>1.4603454034642854E-4</v>
      </c>
    </row>
    <row r="30" spans="1:21" x14ac:dyDescent="0.2">
      <c r="A30" s="33" t="s">
        <v>46</v>
      </c>
      <c r="B30" s="17" t="s">
        <v>31</v>
      </c>
      <c r="C30" s="18">
        <v>53930.501300000004</v>
      </c>
      <c r="D30" s="18">
        <v>1.2999999999999999E-3</v>
      </c>
      <c r="E30">
        <f t="shared" si="0"/>
        <v>55050.229975506249</v>
      </c>
      <c r="F30">
        <f t="shared" si="1"/>
        <v>55050</v>
      </c>
      <c r="G30">
        <f t="shared" si="4"/>
        <v>6.2250000002677552E-2</v>
      </c>
      <c r="J30">
        <f>+G30</f>
        <v>6.2250000002677552E-2</v>
      </c>
      <c r="O30">
        <f t="shared" ca="1" si="2"/>
        <v>5.1550237214569243E-2</v>
      </c>
      <c r="Q30" s="2">
        <f t="shared" si="3"/>
        <v>38912.001300000004</v>
      </c>
      <c r="R30" s="2"/>
      <c r="S30">
        <f t="shared" ca="1" si="5"/>
        <v>1.144849237217873E-4</v>
      </c>
    </row>
    <row r="31" spans="1:21" x14ac:dyDescent="0.2">
      <c r="A31" s="33" t="s">
        <v>46</v>
      </c>
      <c r="B31" s="17" t="s">
        <v>31</v>
      </c>
      <c r="C31" s="18">
        <v>53933.478799999997</v>
      </c>
      <c r="D31" s="18">
        <v>8.0000000000000004E-4</v>
      </c>
      <c r="E31">
        <f t="shared" si="0"/>
        <v>55061.230008755694</v>
      </c>
      <c r="F31">
        <f t="shared" si="1"/>
        <v>55061</v>
      </c>
      <c r="G31">
        <f t="shared" si="4"/>
        <v>6.2258999998448417E-2</v>
      </c>
      <c r="J31">
        <f>+G31</f>
        <v>6.2258999998448417E-2</v>
      </c>
      <c r="O31">
        <f t="shared" ca="1" si="2"/>
        <v>5.1553513862537377E-2</v>
      </c>
      <c r="Q31" s="2">
        <f t="shared" si="3"/>
        <v>38914.978799999997</v>
      </c>
      <c r="R31" s="2"/>
      <c r="S31">
        <f t="shared" ca="1" si="5"/>
        <v>1.1460743340618348E-4</v>
      </c>
    </row>
    <row r="32" spans="1:21" x14ac:dyDescent="0.2">
      <c r="A32" s="33" t="s">
        <v>46</v>
      </c>
      <c r="B32" s="17" t="s">
        <v>31</v>
      </c>
      <c r="C32" s="18">
        <v>54003.316500000001</v>
      </c>
      <c r="D32" s="18">
        <v>2.2000000000000001E-3</v>
      </c>
      <c r="E32">
        <f t="shared" si="0"/>
        <v>55319.237404915759</v>
      </c>
      <c r="F32">
        <f t="shared" si="1"/>
        <v>55319</v>
      </c>
      <c r="G32">
        <f t="shared" si="4"/>
        <v>6.4261000006808899E-2</v>
      </c>
      <c r="J32">
        <f>+G32</f>
        <v>6.4261000006808899E-2</v>
      </c>
      <c r="O32">
        <f t="shared" ca="1" si="2"/>
        <v>5.1630366151244514E-2</v>
      </c>
      <c r="Q32" s="2">
        <f t="shared" si="3"/>
        <v>38984.816500000001</v>
      </c>
      <c r="R32" s="2"/>
      <c r="S32">
        <f t="shared" ca="1" si="5"/>
        <v>1.5953291159332924E-4</v>
      </c>
    </row>
    <row r="33" spans="1:21" x14ac:dyDescent="0.2">
      <c r="A33" s="33" t="s">
        <v>46</v>
      </c>
      <c r="B33" s="17" t="s">
        <v>31</v>
      </c>
      <c r="C33" s="18">
        <v>54029.302000000003</v>
      </c>
      <c r="D33" s="18">
        <v>1E-3</v>
      </c>
      <c r="E33">
        <f t="shared" si="0"/>
        <v>55415.237863019589</v>
      </c>
      <c r="F33">
        <f t="shared" si="1"/>
        <v>55415</v>
      </c>
      <c r="G33">
        <f t="shared" si="4"/>
        <v>6.4385000005131587E-2</v>
      </c>
      <c r="J33">
        <f>+G33</f>
        <v>6.4385000005131587E-2</v>
      </c>
      <c r="O33">
        <f t="shared" ca="1" si="2"/>
        <v>5.1658962351693677E-2</v>
      </c>
      <c r="Q33" s="2">
        <f t="shared" si="3"/>
        <v>39010.802000000003</v>
      </c>
      <c r="R33" s="2"/>
      <c r="S33">
        <f t="shared" ca="1" si="5"/>
        <v>1.6195203435671947E-4</v>
      </c>
    </row>
    <row r="34" spans="1:21" x14ac:dyDescent="0.2">
      <c r="A34" s="62" t="s">
        <v>140</v>
      </c>
      <c r="B34" s="63" t="s">
        <v>31</v>
      </c>
      <c r="C34" s="64">
        <v>55740.586199999998</v>
      </c>
      <c r="D34" s="65">
        <v>2.0000000000000001E-4</v>
      </c>
      <c r="E34">
        <f t="shared" si="0"/>
        <v>61737.381641119995</v>
      </c>
      <c r="F34">
        <f t="shared" si="1"/>
        <v>61737.5</v>
      </c>
      <c r="O34">
        <f t="shared" ca="1" si="2"/>
        <v>5.3542290240650429E-2</v>
      </c>
      <c r="Q34" s="2">
        <f t="shared" si="3"/>
        <v>40722.086199999998</v>
      </c>
      <c r="R34" s="2"/>
      <c r="S34">
        <f ca="1">+(O34-U34)^2</f>
        <v>2.8667768442140504E-3</v>
      </c>
    </row>
    <row r="35" spans="1:21" x14ac:dyDescent="0.2">
      <c r="A35" s="59" t="s">
        <v>124</v>
      </c>
      <c r="B35" s="60" t="s">
        <v>37</v>
      </c>
      <c r="C35" s="61">
        <v>55802.529300000002</v>
      </c>
      <c r="D35" s="61" t="s">
        <v>64</v>
      </c>
      <c r="E35">
        <f t="shared" si="0"/>
        <v>61966.223340389624</v>
      </c>
      <c r="F35">
        <f t="shared" si="1"/>
        <v>61966</v>
      </c>
      <c r="G35">
        <f>+C35-(C$7+F35*C$8)</f>
        <v>6.0454000005847774E-2</v>
      </c>
      <c r="I35">
        <f>+G35</f>
        <v>6.0454000005847774E-2</v>
      </c>
      <c r="O35">
        <f t="shared" ca="1" si="2"/>
        <v>5.3610355155261205E-2</v>
      </c>
      <c r="Q35" s="2">
        <f t="shared" si="3"/>
        <v>40784.029300000002</v>
      </c>
    </row>
    <row r="36" spans="1:21" x14ac:dyDescent="0.2">
      <c r="A36" s="40" t="s">
        <v>51</v>
      </c>
      <c r="B36" s="41" t="s">
        <v>37</v>
      </c>
      <c r="C36" s="42">
        <v>56009.597900000001</v>
      </c>
      <c r="D36" s="42">
        <v>4.0000000000000002E-4</v>
      </c>
      <c r="E36">
        <f t="shared" si="0"/>
        <v>62731.21460316758</v>
      </c>
      <c r="F36">
        <f t="shared" si="1"/>
        <v>62731</v>
      </c>
      <c r="G36">
        <f t="shared" ref="G36:G40" si="6">+C36-(C$7+F36*C$8)</f>
        <v>5.8089000005566049E-2</v>
      </c>
      <c r="O36">
        <f t="shared" ca="1" si="2"/>
        <v>5.3838231127590494E-2</v>
      </c>
      <c r="Q36" s="2">
        <f t="shared" si="3"/>
        <v>40991.097900000001</v>
      </c>
      <c r="R36" s="2"/>
      <c r="S36">
        <f ca="1">+(O36-U36)^2</f>
        <v>1.8069036053965561E-5</v>
      </c>
      <c r="U36">
        <f>+C36-(C$7+F36*C$8)</f>
        <v>5.8089000005566049E-2</v>
      </c>
    </row>
    <row r="37" spans="1:21" x14ac:dyDescent="0.2">
      <c r="A37" s="40" t="s">
        <v>52</v>
      </c>
      <c r="B37" s="41" t="s">
        <v>31</v>
      </c>
      <c r="C37" s="42">
        <v>56179.313300000002</v>
      </c>
      <c r="D37" s="42">
        <v>1.1000000000000001E-3</v>
      </c>
      <c r="E37">
        <f t="shared" si="0"/>
        <v>63358.208740177564</v>
      </c>
      <c r="F37">
        <f t="shared" si="1"/>
        <v>63358</v>
      </c>
      <c r="G37">
        <f t="shared" si="6"/>
        <v>5.6501999999454711E-2</v>
      </c>
      <c r="O37">
        <f t="shared" ca="1" si="2"/>
        <v>5.4025000061774103E-2</v>
      </c>
      <c r="Q37" s="2">
        <f t="shared" si="3"/>
        <v>41160.813300000002</v>
      </c>
      <c r="R37" s="2"/>
      <c r="S37">
        <f ca="1">+(O37-U37)^2</f>
        <v>6.1355286912697325E-6</v>
      </c>
      <c r="U37">
        <f>+C37-(C$7+F37*C$8)</f>
        <v>5.6501999999454711E-2</v>
      </c>
    </row>
    <row r="38" spans="1:21" x14ac:dyDescent="0.2">
      <c r="A38" s="40" t="s">
        <v>52</v>
      </c>
      <c r="B38" s="41" t="s">
        <v>31</v>
      </c>
      <c r="C38" s="42">
        <v>56179.584799999997</v>
      </c>
      <c r="D38" s="42">
        <v>1.2999999999999999E-3</v>
      </c>
      <c r="E38">
        <f t="shared" si="0"/>
        <v>63359.211765879394</v>
      </c>
      <c r="F38">
        <f t="shared" si="1"/>
        <v>63359</v>
      </c>
      <c r="G38">
        <f t="shared" si="6"/>
        <v>5.7321000000229105E-2</v>
      </c>
      <c r="O38">
        <f t="shared" ca="1" si="2"/>
        <v>5.4025297938862113E-2</v>
      </c>
      <c r="Q38" s="2">
        <f t="shared" si="3"/>
        <v>41161.084799999997</v>
      </c>
      <c r="R38" s="2"/>
      <c r="S38">
        <f ca="1">+(O38-U38)^2</f>
        <v>1.0861652077298643E-5</v>
      </c>
      <c r="U38">
        <f>+C38-(C$7+F38*C$8)</f>
        <v>5.7321000000229105E-2</v>
      </c>
    </row>
    <row r="39" spans="1:21" x14ac:dyDescent="0.2">
      <c r="A39" s="62" t="s">
        <v>140</v>
      </c>
      <c r="B39" s="63" t="s">
        <v>31</v>
      </c>
      <c r="C39" s="64">
        <v>59481.309300000001</v>
      </c>
      <c r="D39" s="65">
        <v>8.0000000000000004E-4</v>
      </c>
      <c r="E39">
        <f t="shared" si="0"/>
        <v>75557.055352980082</v>
      </c>
      <c r="F39">
        <f t="shared" si="1"/>
        <v>75557</v>
      </c>
      <c r="G39">
        <f t="shared" si="6"/>
        <v>1.4983000008214731E-2</v>
      </c>
      <c r="K39">
        <v>1.4983000008214731E-2</v>
      </c>
      <c r="O39">
        <f ca="1">+C$11+C$12*$K39</f>
        <v>3.5152107982593342E-2</v>
      </c>
      <c r="Q39" s="2">
        <f t="shared" si="3"/>
        <v>44462.809300000001</v>
      </c>
      <c r="R39" s="2"/>
      <c r="S39">
        <f ca="1">+(O39-U39)^2</f>
        <v>1.2356706956199025E-3</v>
      </c>
    </row>
    <row r="40" spans="1:21" x14ac:dyDescent="0.2">
      <c r="A40" s="62" t="s">
        <v>140</v>
      </c>
      <c r="B40" s="63" t="s">
        <v>37</v>
      </c>
      <c r="C40" s="64">
        <v>59497.276299999998</v>
      </c>
      <c r="D40" s="65">
        <v>2.9999999999999997E-4</v>
      </c>
      <c r="E40">
        <f t="shared" si="0"/>
        <v>75616.043608528125</v>
      </c>
      <c r="F40">
        <f t="shared" si="1"/>
        <v>75616</v>
      </c>
      <c r="G40">
        <f t="shared" si="6"/>
        <v>1.1804000001575332E-2</v>
      </c>
      <c r="K40">
        <v>1.1804000001575332E-2</v>
      </c>
      <c r="O40">
        <f ca="1">+C$11+C$12*$K40</f>
        <v>3.5152107035642081E-2</v>
      </c>
      <c r="Q40" s="2">
        <f t="shared" si="3"/>
        <v>44478.776299999998</v>
      </c>
      <c r="R40" s="2"/>
      <c r="S40">
        <f ca="1">+(O40-U40)^2</f>
        <v>1.2356706290452375E-3</v>
      </c>
    </row>
    <row r="41" spans="1:21" x14ac:dyDescent="0.2">
      <c r="C41" s="18"/>
      <c r="D41" s="18"/>
    </row>
    <row r="42" spans="1:21" x14ac:dyDescent="0.2">
      <c r="C42" s="18"/>
      <c r="D42" s="18"/>
    </row>
    <row r="43" spans="1:21" x14ac:dyDescent="0.2">
      <c r="C43" s="18"/>
      <c r="D43" s="18"/>
    </row>
    <row r="44" spans="1:21" x14ac:dyDescent="0.2">
      <c r="C44" s="18"/>
      <c r="D44" s="18"/>
    </row>
    <row r="45" spans="1:21" x14ac:dyDescent="0.2">
      <c r="C45" s="18"/>
      <c r="D45" s="18"/>
    </row>
    <row r="46" spans="1:21" x14ac:dyDescent="0.2">
      <c r="C46" s="18"/>
      <c r="D46" s="18"/>
    </row>
    <row r="47" spans="1:21" x14ac:dyDescent="0.2">
      <c r="C47" s="18"/>
      <c r="D47" s="18"/>
    </row>
    <row r="48" spans="1:21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</sheetData>
  <sortState xmlns:xlrd2="http://schemas.microsoft.com/office/spreadsheetml/2017/richdata2" ref="A21:U40">
    <sortCondition ref="C21:C40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R104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s="10" t="s">
        <v>29</v>
      </c>
    </row>
    <row r="4" spans="1:7" x14ac:dyDescent="0.2">
      <c r="A4" s="7" t="s">
        <v>0</v>
      </c>
      <c r="C4" s="3">
        <v>39029.449999999997</v>
      </c>
      <c r="D4" s="4">
        <v>0.42605599999999999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39029.449999999997</v>
      </c>
    </row>
    <row r="8" spans="1:7" x14ac:dyDescent="0.2">
      <c r="A8" t="s">
        <v>3</v>
      </c>
      <c r="C8" s="44">
        <v>0.270681</v>
      </c>
      <c r="D8" s="43" t="s">
        <v>53</v>
      </c>
    </row>
    <row r="9" spans="1:7" x14ac:dyDescent="0.2">
      <c r="A9" s="21" t="s">
        <v>39</v>
      </c>
      <c r="B9" s="10"/>
      <c r="C9" s="22">
        <v>-9.5</v>
      </c>
      <c r="D9" s="10" t="s">
        <v>40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34">
        <f ca="1">INTERCEPT(INDIRECT($G$11):G992,INDIRECT($F$11):F992)</f>
        <v>0.12611510914957336</v>
      </c>
      <c r="D11" s="5"/>
      <c r="E11" s="10"/>
      <c r="F11" s="35" t="str">
        <f>"F"&amp;E19</f>
        <v>F21</v>
      </c>
      <c r="G11" s="13" t="str">
        <f>"G"&amp;E19</f>
        <v>G21</v>
      </c>
    </row>
    <row r="12" spans="1:7" x14ac:dyDescent="0.2">
      <c r="A12" s="10" t="s">
        <v>17</v>
      </c>
      <c r="B12" s="10"/>
      <c r="C12" s="34">
        <f ca="1">SLOPE(INDIRECT($G$11):G992,INDIRECT($F$11):F992)</f>
        <v>-1.3812696604386134E-6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3" t="s">
        <v>18</v>
      </c>
      <c r="B15" s="10"/>
      <c r="C15" s="24">
        <f ca="1">(C7+C11)+(C8+C12)*INT(MAX(F21:F3533))</f>
        <v>59497.28616502251</v>
      </c>
      <c r="D15" s="25" t="s">
        <v>41</v>
      </c>
      <c r="E15" s="26">
        <f ca="1">TODAY()+15018.5-B9/24</f>
        <v>60342.5</v>
      </c>
    </row>
    <row r="16" spans="1:7" x14ac:dyDescent="0.2">
      <c r="A16" s="27" t="s">
        <v>4</v>
      </c>
      <c r="B16" s="10"/>
      <c r="C16" s="28">
        <f ca="1">+C8+C12</f>
        <v>0.27067961873033958</v>
      </c>
      <c r="D16" s="25" t="s">
        <v>42</v>
      </c>
      <c r="E16" s="26">
        <f ca="1">ROUND(2*(E15-C15)/C16,0)/2+1</f>
        <v>3123.5</v>
      </c>
    </row>
    <row r="17" spans="1:18" ht="13.5" thickBot="1" x14ac:dyDescent="0.25">
      <c r="A17" s="25" t="s">
        <v>43</v>
      </c>
      <c r="B17" s="10"/>
      <c r="C17" s="10">
        <f>COUNT(C21:C2191)</f>
        <v>19</v>
      </c>
      <c r="D17" s="25" t="s">
        <v>44</v>
      </c>
      <c r="E17" s="29">
        <f ca="1">+C15+C16*E16-15018.5-C9/24</f>
        <v>45324.649787460061</v>
      </c>
    </row>
    <row r="18" spans="1:18" x14ac:dyDescent="0.2">
      <c r="A18" s="27" t="s">
        <v>5</v>
      </c>
      <c r="B18" s="10"/>
      <c r="C18" s="30">
        <f ca="1">+C15</f>
        <v>59497.28616502251</v>
      </c>
      <c r="D18" s="31">
        <f ca="1">+C16</f>
        <v>0.27067961873033958</v>
      </c>
      <c r="E18" s="32" t="s">
        <v>45</v>
      </c>
    </row>
    <row r="19" spans="1:18" ht="13.5" thickTop="1" x14ac:dyDescent="0.2">
      <c r="A19" s="36" t="s">
        <v>47</v>
      </c>
      <c r="E19" s="37">
        <v>21</v>
      </c>
      <c r="R19">
        <f ca="1">SQRT(SUM(R22:R36)/(COUNT(R22:R36)-1))</f>
        <v>2.3727524553222398E-2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34</v>
      </c>
      <c r="J20" s="9" t="s">
        <v>36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t="s">
        <v>12</v>
      </c>
      <c r="C21" s="18">
        <f>+C4</f>
        <v>39029.449999999997</v>
      </c>
      <c r="D21" s="18" t="s">
        <v>14</v>
      </c>
      <c r="E21">
        <f t="shared" ref="E21:E39" si="0">+(C21-C$7)/C$8</f>
        <v>0</v>
      </c>
      <c r="F21">
        <f t="shared" ref="F21:F39" si="1">ROUND(2*E21,0)/2</f>
        <v>0</v>
      </c>
      <c r="H21" s="13">
        <v>0</v>
      </c>
      <c r="O21">
        <f t="shared" ref="O21:O39" ca="1" si="2">+C$11+C$12*$F21</f>
        <v>0.12611510914957336</v>
      </c>
      <c r="Q21" s="2">
        <f t="shared" ref="Q21:Q39" si="3">+C21-15018.5</f>
        <v>24010.949999999997</v>
      </c>
    </row>
    <row r="22" spans="1:18" x14ac:dyDescent="0.2">
      <c r="A22" s="14" t="s">
        <v>35</v>
      </c>
      <c r="C22" s="19">
        <v>51429.4</v>
      </c>
      <c r="D22" s="19">
        <v>5.0000000000000001E-3</v>
      </c>
      <c r="E22">
        <f t="shared" si="0"/>
        <v>45810.197243249451</v>
      </c>
      <c r="F22">
        <f t="shared" si="1"/>
        <v>45810</v>
      </c>
      <c r="G22">
        <f t="shared" ref="G22:G39" si="4">+C22-(C$7+F22*C$8)</f>
        <v>5.339000000822125E-2</v>
      </c>
      <c r="N22">
        <f>G22</f>
        <v>5.339000000822125E-2</v>
      </c>
      <c r="O22">
        <f t="shared" ca="1" si="2"/>
        <v>6.283914600488047E-2</v>
      </c>
      <c r="Q22" s="2">
        <f t="shared" si="3"/>
        <v>36410.9</v>
      </c>
      <c r="R22">
        <f t="shared" ref="R22:R39" ca="1" si="5">+(O22-G22)^2</f>
        <v>8.9286360066180958E-5</v>
      </c>
    </row>
    <row r="23" spans="1:18" x14ac:dyDescent="0.2">
      <c r="A23" s="15" t="s">
        <v>30</v>
      </c>
      <c r="B23" s="11" t="s">
        <v>31</v>
      </c>
      <c r="C23" s="20">
        <v>51435.3534</v>
      </c>
      <c r="D23" s="20">
        <v>3.2000000000000002E-3</v>
      </c>
      <c r="E23">
        <f t="shared" si="0"/>
        <v>45832.19139873136</v>
      </c>
      <c r="F23">
        <f t="shared" si="1"/>
        <v>45832</v>
      </c>
      <c r="G23">
        <f t="shared" si="4"/>
        <v>5.180800000380259E-2</v>
      </c>
      <c r="I23">
        <f>+G23</f>
        <v>5.180800000380259E-2</v>
      </c>
      <c r="O23">
        <f t="shared" ca="1" si="2"/>
        <v>6.2808758072350826E-2</v>
      </c>
      <c r="Q23" s="2">
        <f t="shared" si="3"/>
        <v>36416.8534</v>
      </c>
      <c r="R23">
        <f t="shared" ca="1" si="5"/>
        <v>1.2101667808272911E-4</v>
      </c>
    </row>
    <row r="24" spans="1:18" x14ac:dyDescent="0.2">
      <c r="A24" s="15" t="s">
        <v>32</v>
      </c>
      <c r="B24" s="11" t="s">
        <v>31</v>
      </c>
      <c r="C24" s="20">
        <v>51635.642699999997</v>
      </c>
      <c r="D24" s="20">
        <v>8.0999999999999996E-3</v>
      </c>
      <c r="E24">
        <f t="shared" si="0"/>
        <v>46572.137312925544</v>
      </c>
      <c r="F24">
        <f t="shared" si="1"/>
        <v>46572</v>
      </c>
      <c r="G24">
        <f t="shared" si="4"/>
        <v>3.7167999995290302E-2</v>
      </c>
      <c r="I24">
        <f>+G24</f>
        <v>3.7167999995290302E-2</v>
      </c>
      <c r="O24">
        <f t="shared" ca="1" si="2"/>
        <v>6.1786618523626255E-2</v>
      </c>
      <c r="Q24" s="2">
        <f t="shared" si="3"/>
        <v>36617.142699999997</v>
      </c>
      <c r="R24">
        <f t="shared" ca="1" si="5"/>
        <v>6.0607637824372626E-4</v>
      </c>
    </row>
    <row r="25" spans="1:18" x14ac:dyDescent="0.2">
      <c r="A25" s="38" t="s">
        <v>48</v>
      </c>
      <c r="B25" s="39" t="s">
        <v>31</v>
      </c>
      <c r="C25" s="38">
        <v>51731.480499999998</v>
      </c>
      <c r="D25" s="38" t="s">
        <v>49</v>
      </c>
      <c r="E25">
        <f t="shared" si="0"/>
        <v>46926.199105219799</v>
      </c>
      <c r="F25">
        <f t="shared" si="1"/>
        <v>46926</v>
      </c>
      <c r="G25">
        <f t="shared" si="4"/>
        <v>5.3894000004220288E-2</v>
      </c>
      <c r="N25">
        <f>+G25</f>
        <v>5.3894000004220288E-2</v>
      </c>
      <c r="O25">
        <f t="shared" ca="1" si="2"/>
        <v>6.1297649063830978E-2</v>
      </c>
      <c r="Q25" s="2">
        <f t="shared" si="3"/>
        <v>36712.980499999998</v>
      </c>
      <c r="R25">
        <f t="shared" ca="1" si="5"/>
        <v>5.4814019397874251E-5</v>
      </c>
    </row>
    <row r="26" spans="1:18" x14ac:dyDescent="0.2">
      <c r="A26" s="12" t="s">
        <v>33</v>
      </c>
      <c r="B26" s="11" t="s">
        <v>31</v>
      </c>
      <c r="C26" s="20">
        <v>52440.4012</v>
      </c>
      <c r="D26" s="20">
        <v>4.1999999999999997E-3</v>
      </c>
      <c r="E26">
        <f t="shared" si="0"/>
        <v>49545.225560715393</v>
      </c>
      <c r="F26">
        <f t="shared" si="1"/>
        <v>49545</v>
      </c>
      <c r="G26">
        <f t="shared" si="4"/>
        <v>6.1055000005580951E-2</v>
      </c>
      <c r="I26">
        <f>+G26</f>
        <v>6.1055000005580951E-2</v>
      </c>
      <c r="O26">
        <f t="shared" ca="1" si="2"/>
        <v>5.7680103823142259E-2</v>
      </c>
      <c r="Q26" s="2">
        <f t="shared" si="3"/>
        <v>37421.9012</v>
      </c>
      <c r="R26">
        <f t="shared" ca="1" si="5"/>
        <v>1.1389924242239253E-5</v>
      </c>
    </row>
    <row r="27" spans="1:18" x14ac:dyDescent="0.2">
      <c r="A27" s="16" t="s">
        <v>38</v>
      </c>
      <c r="B27" s="5" t="s">
        <v>31</v>
      </c>
      <c r="C27" s="19">
        <v>53277.619299999998</v>
      </c>
      <c r="D27" s="19">
        <v>5.9999999999999995E-4</v>
      </c>
      <c r="E27">
        <f t="shared" si="0"/>
        <v>52638.232088694815</v>
      </c>
      <c r="F27">
        <f t="shared" si="1"/>
        <v>52638</v>
      </c>
      <c r="G27">
        <f t="shared" si="4"/>
        <v>6.2821999999869149E-2</v>
      </c>
      <c r="J27">
        <f t="shared" ref="J27:J39" si="6">+G27</f>
        <v>6.2821999999869149E-2</v>
      </c>
      <c r="O27">
        <f t="shared" ca="1" si="2"/>
        <v>5.3407836763405617E-2</v>
      </c>
      <c r="Q27" s="2">
        <f t="shared" si="3"/>
        <v>38259.119299999998</v>
      </c>
      <c r="R27">
        <f t="shared" ca="1" si="5"/>
        <v>8.8626469442781538E-5</v>
      </c>
    </row>
    <row r="28" spans="1:18" x14ac:dyDescent="0.2">
      <c r="A28" s="16" t="s">
        <v>38</v>
      </c>
      <c r="B28" s="5" t="s">
        <v>31</v>
      </c>
      <c r="C28" s="19">
        <v>53335.545599999998</v>
      </c>
      <c r="D28" s="19">
        <v>5.0000000000000001E-4</v>
      </c>
      <c r="E28">
        <f t="shared" si="0"/>
        <v>52852.234179717088</v>
      </c>
      <c r="F28">
        <f t="shared" si="1"/>
        <v>52852</v>
      </c>
      <c r="G28">
        <f t="shared" si="4"/>
        <v>6.3388000002305489E-2</v>
      </c>
      <c r="J28">
        <f t="shared" si="6"/>
        <v>6.3388000002305489E-2</v>
      </c>
      <c r="O28">
        <f t="shared" ca="1" si="2"/>
        <v>5.3112245056071761E-2</v>
      </c>
      <c r="Q28" s="2">
        <f t="shared" si="3"/>
        <v>38317.045599999998</v>
      </c>
      <c r="R28">
        <f t="shared" ca="1" si="5"/>
        <v>1.0559113971504693E-4</v>
      </c>
    </row>
    <row r="29" spans="1:18" x14ac:dyDescent="0.2">
      <c r="A29" s="16" t="s">
        <v>38</v>
      </c>
      <c r="B29" s="5" t="s">
        <v>37</v>
      </c>
      <c r="C29" s="19">
        <v>53345.560400000002</v>
      </c>
      <c r="D29" s="19">
        <v>4.0000000000000002E-4</v>
      </c>
      <c r="E29">
        <f t="shared" si="0"/>
        <v>52889.232713046003</v>
      </c>
      <c r="F29">
        <f t="shared" si="1"/>
        <v>52889</v>
      </c>
      <c r="G29">
        <f t="shared" si="4"/>
        <v>6.2991000006149989E-2</v>
      </c>
      <c r="J29">
        <f t="shared" si="6"/>
        <v>6.2991000006149989E-2</v>
      </c>
      <c r="O29">
        <f t="shared" ca="1" si="2"/>
        <v>5.3061138078635536E-2</v>
      </c>
      <c r="Q29" s="2">
        <f t="shared" si="3"/>
        <v>38327.060400000002</v>
      </c>
      <c r="R29">
        <f t="shared" ca="1" si="5"/>
        <v>9.8602157899501039E-5</v>
      </c>
    </row>
    <row r="30" spans="1:18" x14ac:dyDescent="0.2">
      <c r="A30" s="33" t="s">
        <v>46</v>
      </c>
      <c r="B30" s="17" t="s">
        <v>31</v>
      </c>
      <c r="C30" s="18">
        <v>53930.501300000004</v>
      </c>
      <c r="D30" s="18">
        <v>1.2999999999999999E-3</v>
      </c>
      <c r="E30">
        <f t="shared" si="0"/>
        <v>55050.229975506249</v>
      </c>
      <c r="F30">
        <f t="shared" si="1"/>
        <v>55050</v>
      </c>
      <c r="G30">
        <f t="shared" si="4"/>
        <v>6.2250000002677552E-2</v>
      </c>
      <c r="J30">
        <f t="shared" si="6"/>
        <v>6.2250000002677552E-2</v>
      </c>
      <c r="O30">
        <f t="shared" ca="1" si="2"/>
        <v>5.0076214342427691E-2</v>
      </c>
      <c r="Q30" s="2">
        <f t="shared" si="3"/>
        <v>38912.001300000004</v>
      </c>
      <c r="R30">
        <f t="shared" ca="1" si="5"/>
        <v>1.4820105730170514E-4</v>
      </c>
    </row>
    <row r="31" spans="1:18" x14ac:dyDescent="0.2">
      <c r="A31" s="33" t="s">
        <v>46</v>
      </c>
      <c r="B31" s="17" t="s">
        <v>31</v>
      </c>
      <c r="C31" s="18">
        <v>53933.478799999997</v>
      </c>
      <c r="D31" s="18">
        <v>8.0000000000000004E-4</v>
      </c>
      <c r="E31">
        <f t="shared" si="0"/>
        <v>55061.230008755694</v>
      </c>
      <c r="F31">
        <f t="shared" si="1"/>
        <v>55061</v>
      </c>
      <c r="G31">
        <f t="shared" si="4"/>
        <v>6.2258999998448417E-2</v>
      </c>
      <c r="J31">
        <f t="shared" si="6"/>
        <v>6.2258999998448417E-2</v>
      </c>
      <c r="O31">
        <f t="shared" ca="1" si="2"/>
        <v>5.0061020376162862E-2</v>
      </c>
      <c r="Q31" s="2">
        <f t="shared" si="3"/>
        <v>38914.978799999997</v>
      </c>
      <c r="R31">
        <f t="shared" ca="1" si="5"/>
        <v>1.4879070686569363E-4</v>
      </c>
    </row>
    <row r="32" spans="1:18" x14ac:dyDescent="0.2">
      <c r="A32" s="33" t="s">
        <v>46</v>
      </c>
      <c r="B32" s="17" t="s">
        <v>31</v>
      </c>
      <c r="C32" s="18">
        <v>54003.316500000001</v>
      </c>
      <c r="D32" s="18">
        <v>2.2000000000000001E-3</v>
      </c>
      <c r="E32">
        <f t="shared" si="0"/>
        <v>55319.237404915759</v>
      </c>
      <c r="F32">
        <f t="shared" si="1"/>
        <v>55319</v>
      </c>
      <c r="G32">
        <f t="shared" si="4"/>
        <v>6.4261000006808899E-2</v>
      </c>
      <c r="J32">
        <f t="shared" si="6"/>
        <v>6.4261000006808899E-2</v>
      </c>
      <c r="O32">
        <f t="shared" ca="1" si="2"/>
        <v>4.9704652803769706E-2</v>
      </c>
      <c r="Q32" s="2">
        <f t="shared" si="3"/>
        <v>38984.816500000001</v>
      </c>
      <c r="R32">
        <f t="shared" ca="1" si="5"/>
        <v>2.1188724389542695E-4</v>
      </c>
    </row>
    <row r="33" spans="1:18" x14ac:dyDescent="0.2">
      <c r="A33" s="33" t="s">
        <v>46</v>
      </c>
      <c r="B33" s="17" t="s">
        <v>31</v>
      </c>
      <c r="C33" s="18">
        <v>54029.302000000003</v>
      </c>
      <c r="D33" s="18">
        <v>1E-3</v>
      </c>
      <c r="E33">
        <f t="shared" si="0"/>
        <v>55415.237863019589</v>
      </c>
      <c r="F33">
        <f t="shared" si="1"/>
        <v>55415</v>
      </c>
      <c r="G33">
        <f t="shared" si="4"/>
        <v>6.4385000005131587E-2</v>
      </c>
      <c r="J33">
        <f t="shared" si="6"/>
        <v>6.4385000005131587E-2</v>
      </c>
      <c r="O33">
        <f t="shared" ca="1" si="2"/>
        <v>4.9572050916367599E-2</v>
      </c>
      <c r="Q33" s="2">
        <f t="shared" si="3"/>
        <v>39010.802000000003</v>
      </c>
      <c r="R33">
        <f t="shared" ca="1" si="5"/>
        <v>2.1942346070631387E-4</v>
      </c>
    </row>
    <row r="34" spans="1:18" x14ac:dyDescent="0.2">
      <c r="A34" s="62" t="s">
        <v>140</v>
      </c>
      <c r="B34" s="63" t="s">
        <v>31</v>
      </c>
      <c r="C34" s="64">
        <v>55740.586199999998</v>
      </c>
      <c r="D34" s="65">
        <v>2.0000000000000001E-4</v>
      </c>
      <c r="E34">
        <f t="shared" si="0"/>
        <v>61737.381641119995</v>
      </c>
      <c r="F34">
        <f t="shared" si="1"/>
        <v>61737.5</v>
      </c>
      <c r="G34">
        <f t="shared" si="4"/>
        <v>-3.2037500001024455E-2</v>
      </c>
      <c r="J34">
        <f t="shared" si="6"/>
        <v>-3.2037500001024455E-2</v>
      </c>
      <c r="O34">
        <f t="shared" ca="1" si="2"/>
        <v>4.0838973488244459E-2</v>
      </c>
      <c r="Q34" s="2">
        <f t="shared" si="3"/>
        <v>40722.086199999998</v>
      </c>
      <c r="R34">
        <f t="shared" ca="1" si="5"/>
        <v>5.3109803882321147E-3</v>
      </c>
    </row>
    <row r="35" spans="1:18" x14ac:dyDescent="0.2">
      <c r="A35" s="40" t="s">
        <v>51</v>
      </c>
      <c r="B35" s="41" t="s">
        <v>37</v>
      </c>
      <c r="C35" s="42">
        <v>56009.597900000001</v>
      </c>
      <c r="D35" s="42">
        <v>4.0000000000000002E-4</v>
      </c>
      <c r="E35">
        <f t="shared" si="0"/>
        <v>62731.21460316758</v>
      </c>
      <c r="F35">
        <f t="shared" si="1"/>
        <v>62731</v>
      </c>
      <c r="G35">
        <f t="shared" si="4"/>
        <v>5.8089000005566049E-2</v>
      </c>
      <c r="J35">
        <f t="shared" si="6"/>
        <v>5.8089000005566049E-2</v>
      </c>
      <c r="O35">
        <f t="shared" ca="1" si="2"/>
        <v>3.9466682080598697E-2</v>
      </c>
      <c r="Q35" s="2">
        <f t="shared" si="3"/>
        <v>40991.097900000001</v>
      </c>
      <c r="R35">
        <f t="shared" ca="1" si="5"/>
        <v>3.4679072489856032E-4</v>
      </c>
    </row>
    <row r="36" spans="1:18" x14ac:dyDescent="0.2">
      <c r="A36" s="40" t="s">
        <v>52</v>
      </c>
      <c r="B36" s="41" t="s">
        <v>31</v>
      </c>
      <c r="C36" s="42">
        <v>56179.313300000002</v>
      </c>
      <c r="D36" s="42">
        <v>1.1000000000000001E-3</v>
      </c>
      <c r="E36">
        <f t="shared" si="0"/>
        <v>63358.208740177564</v>
      </c>
      <c r="F36">
        <f t="shared" si="1"/>
        <v>63358</v>
      </c>
      <c r="G36">
        <f t="shared" si="4"/>
        <v>5.6501999999454711E-2</v>
      </c>
      <c r="J36">
        <f t="shared" si="6"/>
        <v>5.6501999999454711E-2</v>
      </c>
      <c r="O36">
        <f t="shared" ca="1" si="2"/>
        <v>3.8600626003503682E-2</v>
      </c>
      <c r="Q36" s="2">
        <f t="shared" si="3"/>
        <v>41160.813300000002</v>
      </c>
      <c r="R36">
        <f t="shared" ca="1" si="5"/>
        <v>3.204591909429117E-4</v>
      </c>
    </row>
    <row r="37" spans="1:18" x14ac:dyDescent="0.2">
      <c r="A37" s="40" t="s">
        <v>52</v>
      </c>
      <c r="B37" s="41" t="s">
        <v>31</v>
      </c>
      <c r="C37" s="42">
        <v>56179.584799999997</v>
      </c>
      <c r="D37" s="42">
        <v>1.2999999999999999E-3</v>
      </c>
      <c r="E37">
        <f t="shared" si="0"/>
        <v>63359.211765879394</v>
      </c>
      <c r="F37">
        <f t="shared" si="1"/>
        <v>63359</v>
      </c>
      <c r="G37">
        <f t="shared" si="4"/>
        <v>5.7321000000229105E-2</v>
      </c>
      <c r="J37">
        <f t="shared" si="6"/>
        <v>5.7321000000229105E-2</v>
      </c>
      <c r="O37">
        <f t="shared" ca="1" si="2"/>
        <v>3.8599244733843255E-2</v>
      </c>
      <c r="Q37" s="2">
        <f t="shared" si="3"/>
        <v>41161.084799999997</v>
      </c>
      <c r="R37">
        <f t="shared" ca="1" si="5"/>
        <v>3.5050412025444634E-4</v>
      </c>
    </row>
    <row r="38" spans="1:18" x14ac:dyDescent="0.2">
      <c r="A38" s="62" t="s">
        <v>140</v>
      </c>
      <c r="B38" s="63" t="s">
        <v>31</v>
      </c>
      <c r="C38" s="64">
        <v>59481.309300000001</v>
      </c>
      <c r="D38" s="65">
        <v>8.0000000000000004E-4</v>
      </c>
      <c r="E38">
        <f t="shared" si="0"/>
        <v>75557.055352980082</v>
      </c>
      <c r="F38">
        <f t="shared" si="1"/>
        <v>75557</v>
      </c>
      <c r="G38">
        <f t="shared" si="4"/>
        <v>1.4983000008214731E-2</v>
      </c>
      <c r="J38">
        <f t="shared" si="6"/>
        <v>1.4983000008214731E-2</v>
      </c>
      <c r="O38">
        <f t="shared" ca="1" si="2"/>
        <v>2.1750517415813048E-2</v>
      </c>
      <c r="Q38" s="2">
        <f t="shared" si="3"/>
        <v>44462.809300000001</v>
      </c>
      <c r="R38">
        <f t="shared" ca="1" si="5"/>
        <v>4.579929186214624E-5</v>
      </c>
    </row>
    <row r="39" spans="1:18" x14ac:dyDescent="0.2">
      <c r="A39" s="62" t="s">
        <v>140</v>
      </c>
      <c r="B39" s="63" t="s">
        <v>37</v>
      </c>
      <c r="C39" s="64">
        <v>59497.276299999998</v>
      </c>
      <c r="D39" s="65">
        <v>2.9999999999999997E-4</v>
      </c>
      <c r="E39">
        <f t="shared" si="0"/>
        <v>75616.043608528125</v>
      </c>
      <c r="F39">
        <f t="shared" si="1"/>
        <v>75616</v>
      </c>
      <c r="G39">
        <f t="shared" si="4"/>
        <v>1.1804000001575332E-2</v>
      </c>
      <c r="J39">
        <f t="shared" si="6"/>
        <v>1.1804000001575332E-2</v>
      </c>
      <c r="O39">
        <f t="shared" ca="1" si="2"/>
        <v>2.1669022505847166E-2</v>
      </c>
      <c r="Q39" s="2">
        <f t="shared" si="3"/>
        <v>44478.776299999998</v>
      </c>
      <c r="R39">
        <f t="shared" ca="1" si="5"/>
        <v>9.7318669009789725E-5</v>
      </c>
    </row>
    <row r="40" spans="1:18" x14ac:dyDescent="0.2">
      <c r="C40" s="18"/>
      <c r="D40" s="18"/>
    </row>
    <row r="41" spans="1:18" x14ac:dyDescent="0.2">
      <c r="C41" s="18"/>
      <c r="D41" s="18"/>
    </row>
    <row r="42" spans="1:18" x14ac:dyDescent="0.2">
      <c r="C42" s="18"/>
      <c r="D42" s="18"/>
    </row>
    <row r="43" spans="1:18" x14ac:dyDescent="0.2">
      <c r="C43" s="18"/>
      <c r="D43" s="18"/>
    </row>
    <row r="44" spans="1:18" x14ac:dyDescent="0.2">
      <c r="C44" s="18"/>
      <c r="D44" s="18"/>
    </row>
    <row r="45" spans="1:18" x14ac:dyDescent="0.2">
      <c r="C45" s="18"/>
      <c r="D45" s="18"/>
    </row>
    <row r="46" spans="1:18" x14ac:dyDescent="0.2">
      <c r="C46" s="18"/>
      <c r="D46" s="18"/>
    </row>
    <row r="47" spans="1:18" x14ac:dyDescent="0.2">
      <c r="C47" s="18"/>
      <c r="D47" s="18"/>
    </row>
    <row r="48" spans="1:18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</sheetData>
  <sortState xmlns:xlrd2="http://schemas.microsoft.com/office/spreadsheetml/2017/richdata2" ref="A21:R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workbookViewId="0">
      <selection activeCell="R19" sqref="R19:R3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s="10" t="s">
        <v>29</v>
      </c>
    </row>
    <row r="4" spans="1:7" x14ac:dyDescent="0.2">
      <c r="A4" s="7" t="s">
        <v>0</v>
      </c>
      <c r="C4" s="3">
        <v>39029.449999999997</v>
      </c>
      <c r="D4" s="4">
        <v>0.42605599999999999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39029.449999999997</v>
      </c>
    </row>
    <row r="8" spans="1:7" x14ac:dyDescent="0.2">
      <c r="A8" t="s">
        <v>3</v>
      </c>
      <c r="C8">
        <f>+D4</f>
        <v>0.42605599999999999</v>
      </c>
    </row>
    <row r="9" spans="1:7" x14ac:dyDescent="0.2">
      <c r="A9" s="21" t="s">
        <v>39</v>
      </c>
      <c r="B9" s="10"/>
      <c r="C9" s="22">
        <v>8</v>
      </c>
      <c r="D9" s="10" t="s">
        <v>40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34">
        <f ca="1">INTERCEPT(INDIRECT($G$11):G992,INDIRECT($F$11):F992)</f>
        <v>4.343449839068747E-2</v>
      </c>
      <c r="D11" s="5"/>
      <c r="E11" s="10"/>
      <c r="F11" s="35" t="str">
        <f>"F"&amp;E19</f>
        <v>F21</v>
      </c>
      <c r="G11" s="13" t="str">
        <f>"G"&amp;E19</f>
        <v>G21</v>
      </c>
    </row>
    <row r="12" spans="1:7" x14ac:dyDescent="0.2">
      <c r="A12" s="10" t="s">
        <v>17</v>
      </c>
      <c r="B12" s="10"/>
      <c r="C12" s="34">
        <f ca="1">SLOPE(INDIRECT($G$11):G992,INDIRECT($F$11):F992)</f>
        <v>-1.5921751443270809E-6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3" t="s">
        <v>18</v>
      </c>
      <c r="B15" s="10"/>
      <c r="C15" s="24">
        <f ca="1">(C7+C11)+(C8+C12)*INT(MAX(F21:F3533))</f>
        <v>56179.4615126723</v>
      </c>
      <c r="D15" s="25" t="s">
        <v>41</v>
      </c>
      <c r="E15" s="26">
        <f ca="1">TODAY()+15018.5-B9/24</f>
        <v>60342.5</v>
      </c>
    </row>
    <row r="16" spans="1:7" x14ac:dyDescent="0.2">
      <c r="A16" s="27" t="s">
        <v>4</v>
      </c>
      <c r="B16" s="10"/>
      <c r="C16" s="28">
        <f ca="1">+C8+C12</f>
        <v>0.42605440782485565</v>
      </c>
      <c r="D16" s="25" t="s">
        <v>42</v>
      </c>
      <c r="E16" s="26">
        <f ca="1">ROUND(2*(E15-C15)/C16,0)/2+1</f>
        <v>9772</v>
      </c>
    </row>
    <row r="17" spans="1:18" ht="13.5" thickBot="1" x14ac:dyDescent="0.25">
      <c r="A17" s="25" t="s">
        <v>43</v>
      </c>
      <c r="B17" s="10"/>
      <c r="C17" s="10">
        <f>COUNT(C21:C2191)</f>
        <v>16</v>
      </c>
      <c r="D17" s="25" t="s">
        <v>44</v>
      </c>
      <c r="E17" s="29">
        <f ca="1">+C15+C16*E16-15018.5-C9/24</f>
        <v>45324.031852603453</v>
      </c>
    </row>
    <row r="18" spans="1:18" x14ac:dyDescent="0.2">
      <c r="A18" s="27" t="s">
        <v>5</v>
      </c>
      <c r="B18" s="10"/>
      <c r="C18" s="30">
        <f ca="1">+C15</f>
        <v>56179.4615126723</v>
      </c>
      <c r="D18" s="31">
        <f ca="1">+C16</f>
        <v>0.42605440782485565</v>
      </c>
      <c r="E18" s="32" t="s">
        <v>45</v>
      </c>
    </row>
    <row r="19" spans="1:18" ht="13.5" thickTop="1" x14ac:dyDescent="0.2">
      <c r="A19" s="36" t="s">
        <v>47</v>
      </c>
      <c r="E19" s="37">
        <v>21</v>
      </c>
      <c r="R19">
        <f ca="1">SQRT(SUM(R22:R36)/(COUNT(R22:R36)-1))</f>
        <v>5.5656523988470562E-2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34</v>
      </c>
      <c r="J20" s="9" t="s">
        <v>36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t="s">
        <v>12</v>
      </c>
      <c r="C21" s="18">
        <f>+C4</f>
        <v>39029.449999999997</v>
      </c>
      <c r="D21" s="18" t="s">
        <v>14</v>
      </c>
      <c r="E21">
        <f t="shared" ref="E21:E33" si="0">+(C21-C$7)/C$8</f>
        <v>0</v>
      </c>
      <c r="F21">
        <f t="shared" ref="F21:F36" si="1">ROUND(2*E21,0)/2</f>
        <v>0</v>
      </c>
      <c r="H21" s="13">
        <v>0</v>
      </c>
      <c r="O21">
        <f t="shared" ref="O21:O33" ca="1" si="2">+C$11+C$12*$F21</f>
        <v>4.343449839068747E-2</v>
      </c>
      <c r="Q21" s="2">
        <f t="shared" ref="Q21:Q33" si="3">+C21-15018.5</f>
        <v>24010.949999999997</v>
      </c>
    </row>
    <row r="22" spans="1:18" x14ac:dyDescent="0.2">
      <c r="A22" s="14" t="s">
        <v>35</v>
      </c>
      <c r="C22" s="19">
        <v>51429.4</v>
      </c>
      <c r="D22" s="19">
        <v>5.0000000000000001E-3</v>
      </c>
      <c r="E22">
        <f t="shared" si="0"/>
        <v>29104.037966840049</v>
      </c>
      <c r="F22">
        <f t="shared" si="1"/>
        <v>29104</v>
      </c>
      <c r="G22">
        <f t="shared" ref="G22:G33" si="4">+C22-(C$7+F22*C$8)</f>
        <v>1.6176000004634261E-2</v>
      </c>
      <c r="N22">
        <f>G22</f>
        <v>1.6176000004634261E-2</v>
      </c>
      <c r="O22">
        <f t="shared" ca="1" si="2"/>
        <v>-2.9041670098078967E-3</v>
      </c>
      <c r="Q22" s="2">
        <f t="shared" si="3"/>
        <v>36410.9</v>
      </c>
      <c r="R22">
        <f t="shared" ref="R22:R36" ca="1" si="5">+(O22-G22)^2</f>
        <v>3.6405277329900655E-4</v>
      </c>
    </row>
    <row r="23" spans="1:18" x14ac:dyDescent="0.2">
      <c r="A23" s="15" t="s">
        <v>30</v>
      </c>
      <c r="B23" s="11" t="s">
        <v>31</v>
      </c>
      <c r="C23" s="20">
        <v>51435.3534</v>
      </c>
      <c r="D23" s="20">
        <v>3.2000000000000002E-3</v>
      </c>
      <c r="E23">
        <f t="shared" si="0"/>
        <v>29118.011247347775</v>
      </c>
      <c r="F23">
        <f t="shared" si="1"/>
        <v>29118</v>
      </c>
      <c r="G23">
        <f t="shared" si="4"/>
        <v>4.7919999997247942E-3</v>
      </c>
      <c r="I23">
        <f>+G23</f>
        <v>4.7919999997247942E-3</v>
      </c>
      <c r="O23">
        <f t="shared" ca="1" si="2"/>
        <v>-2.9264574618284717E-3</v>
      </c>
      <c r="Q23" s="2">
        <f t="shared" si="3"/>
        <v>36416.8534</v>
      </c>
      <c r="R23">
        <f t="shared" ca="1" si="5"/>
        <v>5.9574585585807284E-5</v>
      </c>
    </row>
    <row r="24" spans="1:18" x14ac:dyDescent="0.2">
      <c r="A24" s="15" t="s">
        <v>32</v>
      </c>
      <c r="B24" s="11" t="s">
        <v>31</v>
      </c>
      <c r="C24" s="20">
        <v>51635.642699999997</v>
      </c>
      <c r="D24" s="20">
        <v>8.0999999999999996E-3</v>
      </c>
      <c r="E24">
        <f t="shared" si="0"/>
        <v>29588.112126105487</v>
      </c>
      <c r="F24">
        <f t="shared" si="1"/>
        <v>29588</v>
      </c>
      <c r="G24">
        <f t="shared" si="4"/>
        <v>4.7771999998076353E-2</v>
      </c>
      <c r="I24">
        <f>+G24</f>
        <v>4.7771999998076353E-2</v>
      </c>
      <c r="O24">
        <f t="shared" ca="1" si="2"/>
        <v>-3.6747797796621989E-3</v>
      </c>
      <c r="Q24" s="2">
        <f t="shared" si="3"/>
        <v>36617.142699999997</v>
      </c>
      <c r="R24">
        <f t="shared" ca="1" si="5"/>
        <v>2.6467711494991284E-3</v>
      </c>
    </row>
    <row r="25" spans="1:18" x14ac:dyDescent="0.2">
      <c r="A25" s="38" t="s">
        <v>48</v>
      </c>
      <c r="B25" s="39" t="s">
        <v>31</v>
      </c>
      <c r="C25" s="38">
        <v>51731.480499999998</v>
      </c>
      <c r="D25" s="38" t="s">
        <v>49</v>
      </c>
      <c r="E25">
        <f t="shared" si="0"/>
        <v>29813.053917794845</v>
      </c>
      <c r="F25">
        <f t="shared" si="1"/>
        <v>29813</v>
      </c>
      <c r="G25">
        <f t="shared" si="4"/>
        <v>2.2971999998844694E-2</v>
      </c>
      <c r="N25">
        <f>+G25</f>
        <v>2.2971999998844694E-2</v>
      </c>
      <c r="O25">
        <f t="shared" ca="1" si="2"/>
        <v>-4.0330191871357918E-3</v>
      </c>
      <c r="Q25" s="2">
        <f t="shared" si="3"/>
        <v>36712.980499999998</v>
      </c>
      <c r="R25">
        <f t="shared" ca="1" si="5"/>
        <v>7.2927106123517414E-4</v>
      </c>
    </row>
    <row r="26" spans="1:18" x14ac:dyDescent="0.2">
      <c r="A26" s="12" t="s">
        <v>33</v>
      </c>
      <c r="B26" s="11" t="s">
        <v>31</v>
      </c>
      <c r="C26" s="20">
        <v>52440.4012</v>
      </c>
      <c r="D26" s="20">
        <v>4.1999999999999997E-3</v>
      </c>
      <c r="E26">
        <f t="shared" si="0"/>
        <v>31476.968285859144</v>
      </c>
      <c r="F26">
        <f t="shared" si="1"/>
        <v>31477</v>
      </c>
      <c r="G26">
        <f t="shared" si="4"/>
        <v>-1.3511999997717794E-2</v>
      </c>
      <c r="I26">
        <f>+G26</f>
        <v>-1.3511999997717794E-2</v>
      </c>
      <c r="O26">
        <f t="shared" ca="1" si="2"/>
        <v>-6.6823986272960545E-3</v>
      </c>
      <c r="Q26" s="2">
        <f t="shared" si="3"/>
        <v>37421.9012</v>
      </c>
      <c r="R26">
        <f t="shared" ca="1" si="5"/>
        <v>4.6643454878866501E-5</v>
      </c>
    </row>
    <row r="27" spans="1:18" x14ac:dyDescent="0.2">
      <c r="A27" s="16" t="s">
        <v>38</v>
      </c>
      <c r="B27" s="5" t="s">
        <v>31</v>
      </c>
      <c r="C27" s="19">
        <v>53277.619299999998</v>
      </c>
      <c r="D27" s="19">
        <v>5.9999999999999995E-4</v>
      </c>
      <c r="E27">
        <f t="shared" si="0"/>
        <v>33442.010674653102</v>
      </c>
      <c r="F27">
        <f t="shared" si="1"/>
        <v>33442</v>
      </c>
      <c r="G27">
        <f t="shared" si="4"/>
        <v>4.5480000044335611E-3</v>
      </c>
      <c r="J27">
        <f t="shared" ref="J27:J33" si="6">+G27</f>
        <v>4.5480000044335611E-3</v>
      </c>
      <c r="O27">
        <f t="shared" ca="1" si="2"/>
        <v>-9.8110227858987722E-3</v>
      </c>
      <c r="Q27" s="2">
        <f t="shared" si="3"/>
        <v>38259.119299999998</v>
      </c>
      <c r="R27">
        <f t="shared" ca="1" si="5"/>
        <v>2.0618153549328334E-4</v>
      </c>
    </row>
    <row r="28" spans="1:18" x14ac:dyDescent="0.2">
      <c r="A28" s="16" t="s">
        <v>38</v>
      </c>
      <c r="B28" s="5" t="s">
        <v>31</v>
      </c>
      <c r="C28" s="19">
        <v>53335.545599999998</v>
      </c>
      <c r="D28" s="19">
        <v>5.0000000000000001E-4</v>
      </c>
      <c r="E28">
        <f t="shared" si="0"/>
        <v>33577.97003210846</v>
      </c>
      <c r="F28">
        <f t="shared" si="1"/>
        <v>33578</v>
      </c>
      <c r="G28">
        <f t="shared" si="4"/>
        <v>-1.2768000000505708E-2</v>
      </c>
      <c r="J28">
        <f t="shared" si="6"/>
        <v>-1.2768000000505708E-2</v>
      </c>
      <c r="O28">
        <f t="shared" ca="1" si="2"/>
        <v>-1.0027558605527252E-2</v>
      </c>
      <c r="Q28" s="2">
        <f t="shared" si="3"/>
        <v>38317.045599999998</v>
      </c>
      <c r="R28">
        <f t="shared" ca="1" si="5"/>
        <v>7.5100190393114653E-6</v>
      </c>
    </row>
    <row r="29" spans="1:18" x14ac:dyDescent="0.2">
      <c r="A29" s="16" t="s">
        <v>38</v>
      </c>
      <c r="B29" s="5" t="s">
        <v>37</v>
      </c>
      <c r="C29" s="19">
        <v>53345.560400000002</v>
      </c>
      <c r="D29" s="19">
        <v>4.0000000000000002E-4</v>
      </c>
      <c r="E29">
        <f t="shared" si="0"/>
        <v>33601.47586232797</v>
      </c>
      <c r="F29">
        <f t="shared" si="1"/>
        <v>33601.5</v>
      </c>
      <c r="G29">
        <f t="shared" si="4"/>
        <v>-1.0283999996318016E-2</v>
      </c>
      <c r="J29">
        <f t="shared" si="6"/>
        <v>-1.0283999996318016E-2</v>
      </c>
      <c r="O29">
        <f t="shared" ca="1" si="2"/>
        <v>-1.0064974721418943E-2</v>
      </c>
      <c r="Q29" s="2">
        <f t="shared" si="3"/>
        <v>38327.060400000002</v>
      </c>
      <c r="R29">
        <f t="shared" ca="1" si="5"/>
        <v>4.7972071044614682E-8</v>
      </c>
    </row>
    <row r="30" spans="1:18" x14ac:dyDescent="0.2">
      <c r="A30" s="33" t="s">
        <v>46</v>
      </c>
      <c r="B30" s="17" t="s">
        <v>31</v>
      </c>
      <c r="C30" s="18">
        <v>53930.501300000004</v>
      </c>
      <c r="D30" s="18">
        <v>1.2999999999999999E-3</v>
      </c>
      <c r="E30">
        <f t="shared" si="0"/>
        <v>34974.396088777081</v>
      </c>
      <c r="F30">
        <f t="shared" si="1"/>
        <v>34974.5</v>
      </c>
      <c r="G30">
        <f t="shared" si="4"/>
        <v>-4.4271999991906341E-2</v>
      </c>
      <c r="J30">
        <f t="shared" si="6"/>
        <v>-4.4271999991906341E-2</v>
      </c>
      <c r="O30">
        <f t="shared" ca="1" si="2"/>
        <v>-1.2251031194580021E-2</v>
      </c>
      <c r="Q30" s="2">
        <f t="shared" si="3"/>
        <v>38912.001300000004</v>
      </c>
      <c r="R30">
        <f t="shared" ca="1" si="5"/>
        <v>1.0253424427193458E-3</v>
      </c>
    </row>
    <row r="31" spans="1:18" x14ac:dyDescent="0.2">
      <c r="A31" s="33" t="s">
        <v>46</v>
      </c>
      <c r="B31" s="17" t="s">
        <v>31</v>
      </c>
      <c r="C31" s="18">
        <v>53933.478799999997</v>
      </c>
      <c r="D31" s="18">
        <v>8.0000000000000004E-4</v>
      </c>
      <c r="E31">
        <f t="shared" si="0"/>
        <v>34981.384606718369</v>
      </c>
      <c r="F31">
        <f t="shared" si="1"/>
        <v>34981.5</v>
      </c>
      <c r="G31">
        <f t="shared" si="4"/>
        <v>-4.916399999638088E-2</v>
      </c>
      <c r="J31">
        <f t="shared" si="6"/>
        <v>-4.916399999638088E-2</v>
      </c>
      <c r="O31">
        <f t="shared" ca="1" si="2"/>
        <v>-1.2262176420590312E-2</v>
      </c>
      <c r="Q31" s="2">
        <f t="shared" si="3"/>
        <v>38914.978799999997</v>
      </c>
      <c r="R31">
        <f t="shared" ca="1" si="5"/>
        <v>1.3617445832187726E-3</v>
      </c>
    </row>
    <row r="32" spans="1:18" x14ac:dyDescent="0.2">
      <c r="A32" s="33" t="s">
        <v>46</v>
      </c>
      <c r="B32" s="17" t="s">
        <v>31</v>
      </c>
      <c r="C32" s="18">
        <v>54003.316500000001</v>
      </c>
      <c r="D32" s="18">
        <v>2.2000000000000001E-3</v>
      </c>
      <c r="E32">
        <f t="shared" si="0"/>
        <v>35145.301321891966</v>
      </c>
      <c r="F32">
        <f t="shared" si="1"/>
        <v>35145.5</v>
      </c>
      <c r="G32">
        <f t="shared" si="4"/>
        <v>-8.4647999996377621E-2</v>
      </c>
      <c r="J32">
        <f t="shared" si="6"/>
        <v>-8.4647999996377621E-2</v>
      </c>
      <c r="O32">
        <f t="shared" ca="1" si="2"/>
        <v>-1.2523293144259956E-2</v>
      </c>
      <c r="Q32" s="2">
        <f t="shared" si="3"/>
        <v>38984.816500000001</v>
      </c>
      <c r="R32">
        <f t="shared" ca="1" si="5"/>
        <v>5.2019733385039084E-3</v>
      </c>
    </row>
    <row r="33" spans="1:18" x14ac:dyDescent="0.2">
      <c r="A33" s="33" t="s">
        <v>46</v>
      </c>
      <c r="B33" s="17" t="s">
        <v>31</v>
      </c>
      <c r="C33" s="18">
        <v>54029.302000000003</v>
      </c>
      <c r="D33" s="18">
        <v>1E-3</v>
      </c>
      <c r="E33">
        <f t="shared" si="0"/>
        <v>35206.292130611953</v>
      </c>
      <c r="F33">
        <f t="shared" si="1"/>
        <v>35206.5</v>
      </c>
      <c r="G33">
        <f t="shared" si="4"/>
        <v>-8.8563999997859355E-2</v>
      </c>
      <c r="J33">
        <f t="shared" si="6"/>
        <v>-8.8563999997859355E-2</v>
      </c>
      <c r="O33">
        <f t="shared" ca="1" si="2"/>
        <v>-1.2620415828063905E-2</v>
      </c>
      <c r="Q33" s="2">
        <f t="shared" si="3"/>
        <v>39010.802000000003</v>
      </c>
      <c r="R33">
        <f t="shared" ca="1" si="5"/>
        <v>5.7674279765548061E-3</v>
      </c>
    </row>
    <row r="34" spans="1:18" x14ac:dyDescent="0.2">
      <c r="A34" s="40" t="s">
        <v>51</v>
      </c>
      <c r="B34" s="41" t="s">
        <v>37</v>
      </c>
      <c r="C34" s="42">
        <v>56009.597900000001</v>
      </c>
      <c r="D34" s="42">
        <v>4.0000000000000002E-4</v>
      </c>
      <c r="E34">
        <f>+(C34-C$7)/C$8</f>
        <v>39854.263054621937</v>
      </c>
      <c r="F34">
        <f t="shared" si="1"/>
        <v>39854.5</v>
      </c>
      <c r="G34">
        <f>+C34-(C$7+F34*C$8)</f>
        <v>-0.10095200000068871</v>
      </c>
      <c r="J34">
        <f>+G34</f>
        <v>-0.10095200000068871</v>
      </c>
      <c r="O34">
        <f ca="1">+C$11+C$12*$F34</f>
        <v>-2.0020845898896175E-2</v>
      </c>
      <c r="Q34" s="2">
        <f>+C34-15018.5</f>
        <v>40991.097900000001</v>
      </c>
      <c r="R34">
        <f t="shared" ca="1" si="5"/>
        <v>6.549851704248091E-3</v>
      </c>
    </row>
    <row r="35" spans="1:18" x14ac:dyDescent="0.2">
      <c r="A35" s="40" t="s">
        <v>52</v>
      </c>
      <c r="B35" s="41" t="s">
        <v>31</v>
      </c>
      <c r="C35" s="42">
        <v>56179.313300000002</v>
      </c>
      <c r="D35" s="42">
        <v>1.1000000000000001E-3</v>
      </c>
      <c r="E35">
        <f>+(C35-C$7)/C$8</f>
        <v>40252.603648346711</v>
      </c>
      <c r="F35">
        <f t="shared" si="1"/>
        <v>40252.5</v>
      </c>
      <c r="G35">
        <f>+C35-(C$7+F35*C$8)</f>
        <v>4.416000000492204E-2</v>
      </c>
      <c r="J35">
        <f>+G35</f>
        <v>4.416000000492204E-2</v>
      </c>
      <c r="O35">
        <f ca="1">+C$11+C$12*$F35</f>
        <v>-2.0654531606338358E-2</v>
      </c>
      <c r="Q35" s="2">
        <f>+C35-15018.5</f>
        <v>41160.813300000002</v>
      </c>
      <c r="R35">
        <f t="shared" ca="1" si="5"/>
        <v>4.200923507987073E-3</v>
      </c>
    </row>
    <row r="36" spans="1:18" x14ac:dyDescent="0.2">
      <c r="A36" s="40" t="s">
        <v>52</v>
      </c>
      <c r="B36" s="41" t="s">
        <v>31</v>
      </c>
      <c r="C36" s="42">
        <v>56179.584799999997</v>
      </c>
      <c r="D36" s="42">
        <v>1.2999999999999999E-3</v>
      </c>
      <c r="E36">
        <f>+(C36-C$7)/C$8</f>
        <v>40253.240888521694</v>
      </c>
      <c r="F36">
        <f t="shared" si="1"/>
        <v>40253</v>
      </c>
      <c r="G36">
        <f>+C36-(C$7+F36*C$8)</f>
        <v>0.10263200000190409</v>
      </c>
      <c r="J36">
        <f>+G36</f>
        <v>0.10263200000190409</v>
      </c>
      <c r="O36">
        <f ca="1">+C$11+C$12*$F36</f>
        <v>-2.0655327693910513E-2</v>
      </c>
      <c r="Q36" s="2">
        <f>+C36-15018.5</f>
        <v>41161.084799999997</v>
      </c>
      <c r="R36">
        <f t="shared" ca="1" si="5"/>
        <v>1.5199765170375175E-2</v>
      </c>
    </row>
    <row r="37" spans="1:18" x14ac:dyDescent="0.2">
      <c r="D37" s="5"/>
    </row>
    <row r="38" spans="1:18" x14ac:dyDescent="0.2">
      <c r="D38" s="5"/>
    </row>
    <row r="39" spans="1:18" x14ac:dyDescent="0.2">
      <c r="D39" s="5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  <row r="47" spans="1:18" x14ac:dyDescent="0.2">
      <c r="D47" s="5"/>
    </row>
    <row r="48" spans="1:18" x14ac:dyDescent="0.2">
      <c r="D48" s="5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10"/>
  <sheetViews>
    <sheetView topLeftCell="A4" workbookViewId="0">
      <selection activeCell="A26" sqref="A26:D26"/>
    </sheetView>
  </sheetViews>
  <sheetFormatPr defaultRowHeight="12.75" x14ac:dyDescent="0.2"/>
  <cols>
    <col min="1" max="1" width="19.7109375" style="18" customWidth="1"/>
    <col min="2" max="2" width="4.42578125" style="10" customWidth="1"/>
    <col min="3" max="3" width="12.7109375" style="1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55</v>
      </c>
      <c r="I1" s="47" t="s">
        <v>56</v>
      </c>
      <c r="J1" s="48" t="s">
        <v>49</v>
      </c>
    </row>
    <row r="2" spans="1:16" x14ac:dyDescent="0.2">
      <c r="I2" s="49" t="s">
        <v>57</v>
      </c>
      <c r="J2" s="50" t="s">
        <v>58</v>
      </c>
    </row>
    <row r="3" spans="1:16" x14ac:dyDescent="0.2">
      <c r="A3" s="51" t="s">
        <v>59</v>
      </c>
      <c r="I3" s="49" t="s">
        <v>60</v>
      </c>
      <c r="J3" s="50" t="s">
        <v>61</v>
      </c>
    </row>
    <row r="4" spans="1:16" x14ac:dyDescent="0.2">
      <c r="I4" s="49" t="s">
        <v>62</v>
      </c>
      <c r="J4" s="50" t="s">
        <v>61</v>
      </c>
    </row>
    <row r="5" spans="1:16" ht="13.5" thickBot="1" x14ac:dyDescent="0.25">
      <c r="I5" s="52" t="s">
        <v>63</v>
      </c>
      <c r="J5" s="53" t="s">
        <v>64</v>
      </c>
    </row>
    <row r="10" spans="1:16" ht="13.5" thickBot="1" x14ac:dyDescent="0.25"/>
    <row r="11" spans="1:16" ht="12.75" customHeight="1" thickBot="1" x14ac:dyDescent="0.25">
      <c r="A11" s="18" t="str">
        <f t="shared" ref="A11:A26" si="0">P11</f>
        <v> BBS 121 </v>
      </c>
      <c r="B11" s="5" t="str">
        <f t="shared" ref="B11:B26" si="1">IF(H11=INT(H11),"I","II")</f>
        <v>I</v>
      </c>
      <c r="C11" s="18">
        <f t="shared" ref="C11:C26" si="2">1*G11</f>
        <v>51429.4</v>
      </c>
      <c r="D11" s="10" t="str">
        <f t="shared" ref="D11:D26" si="3">VLOOKUP(F11,I$1:J$5,2,FALSE)</f>
        <v>vis</v>
      </c>
      <c r="E11" s="54">
        <f>VLOOKUP(C11,'Active 1'!C$21:E$973,3,FALSE)</f>
        <v>45810.197243249451</v>
      </c>
      <c r="F11" s="5" t="s">
        <v>63</v>
      </c>
      <c r="G11" s="10" t="str">
        <f t="shared" ref="G11:G26" si="4">MID(I11,3,LEN(I11)-3)</f>
        <v>51429.400</v>
      </c>
      <c r="H11" s="18">
        <f t="shared" ref="H11:H26" si="5">1*K11</f>
        <v>29104</v>
      </c>
      <c r="I11" s="55" t="s">
        <v>65</v>
      </c>
      <c r="J11" s="56" t="s">
        <v>66</v>
      </c>
      <c r="K11" s="55">
        <v>29104</v>
      </c>
      <c r="L11" s="55" t="s">
        <v>67</v>
      </c>
      <c r="M11" s="56" t="s">
        <v>68</v>
      </c>
      <c r="N11" s="56" t="s">
        <v>69</v>
      </c>
      <c r="O11" s="57" t="s">
        <v>70</v>
      </c>
      <c r="P11" s="57" t="s">
        <v>71</v>
      </c>
    </row>
    <row r="12" spans="1:16" ht="12.75" customHeight="1" thickBot="1" x14ac:dyDescent="0.25">
      <c r="A12" s="18" t="str">
        <f t="shared" si="0"/>
        <v>IBVS 5263 </v>
      </c>
      <c r="B12" s="5" t="str">
        <f t="shared" si="1"/>
        <v>I</v>
      </c>
      <c r="C12" s="18">
        <f t="shared" si="2"/>
        <v>51435.3534</v>
      </c>
      <c r="D12" s="10" t="str">
        <f t="shared" si="3"/>
        <v>vis</v>
      </c>
      <c r="E12" s="54">
        <f>VLOOKUP(C12,'Active 1'!C$21:E$973,3,FALSE)</f>
        <v>45832.19139873136</v>
      </c>
      <c r="F12" s="5" t="s">
        <v>63</v>
      </c>
      <c r="G12" s="10" t="str">
        <f t="shared" si="4"/>
        <v>51435.3534</v>
      </c>
      <c r="H12" s="18">
        <f t="shared" si="5"/>
        <v>29118</v>
      </c>
      <c r="I12" s="55" t="s">
        <v>72</v>
      </c>
      <c r="J12" s="56" t="s">
        <v>73</v>
      </c>
      <c r="K12" s="55">
        <v>29118</v>
      </c>
      <c r="L12" s="55" t="s">
        <v>74</v>
      </c>
      <c r="M12" s="56" t="s">
        <v>68</v>
      </c>
      <c r="N12" s="56" t="s">
        <v>69</v>
      </c>
      <c r="O12" s="57" t="s">
        <v>75</v>
      </c>
      <c r="P12" s="58" t="s">
        <v>76</v>
      </c>
    </row>
    <row r="13" spans="1:16" ht="12.75" customHeight="1" thickBot="1" x14ac:dyDescent="0.25">
      <c r="A13" s="18" t="str">
        <f t="shared" si="0"/>
        <v>IBVS 5287 </v>
      </c>
      <c r="B13" s="5" t="str">
        <f t="shared" si="1"/>
        <v>I</v>
      </c>
      <c r="C13" s="18">
        <f t="shared" si="2"/>
        <v>51635.642699999997</v>
      </c>
      <c r="D13" s="10" t="str">
        <f t="shared" si="3"/>
        <v>vis</v>
      </c>
      <c r="E13" s="54">
        <f>VLOOKUP(C13,'Active 1'!C$21:E$973,3,FALSE)</f>
        <v>46572.137312925544</v>
      </c>
      <c r="F13" s="5" t="s">
        <v>63</v>
      </c>
      <c r="G13" s="10" t="str">
        <f t="shared" si="4"/>
        <v>51635.6427</v>
      </c>
      <c r="H13" s="18">
        <f t="shared" si="5"/>
        <v>29588</v>
      </c>
      <c r="I13" s="55" t="s">
        <v>77</v>
      </c>
      <c r="J13" s="56" t="s">
        <v>78</v>
      </c>
      <c r="K13" s="55">
        <v>29588</v>
      </c>
      <c r="L13" s="55" t="s">
        <v>79</v>
      </c>
      <c r="M13" s="56" t="s">
        <v>68</v>
      </c>
      <c r="N13" s="56" t="s">
        <v>69</v>
      </c>
      <c r="O13" s="57" t="s">
        <v>75</v>
      </c>
      <c r="P13" s="58" t="s">
        <v>80</v>
      </c>
    </row>
    <row r="14" spans="1:16" ht="12.75" customHeight="1" thickBot="1" x14ac:dyDescent="0.25">
      <c r="A14" s="18" t="str">
        <f t="shared" si="0"/>
        <v>OEJV 0074 </v>
      </c>
      <c r="B14" s="5" t="str">
        <f t="shared" si="1"/>
        <v>I</v>
      </c>
      <c r="C14" s="18">
        <f t="shared" si="2"/>
        <v>51731.480499999998</v>
      </c>
      <c r="D14" s="10" t="str">
        <f t="shared" si="3"/>
        <v>vis</v>
      </c>
      <c r="E14" s="54">
        <f>VLOOKUP(C14,'Active 1'!C$21:E$973,3,FALSE)</f>
        <v>46926.199105219799</v>
      </c>
      <c r="F14" s="5" t="s">
        <v>63</v>
      </c>
      <c r="G14" s="10" t="str">
        <f t="shared" si="4"/>
        <v>51731.48050</v>
      </c>
      <c r="H14" s="18">
        <f t="shared" si="5"/>
        <v>29813</v>
      </c>
      <c r="I14" s="55" t="s">
        <v>81</v>
      </c>
      <c r="J14" s="56" t="s">
        <v>82</v>
      </c>
      <c r="K14" s="55">
        <v>29813</v>
      </c>
      <c r="L14" s="55" t="s">
        <v>83</v>
      </c>
      <c r="M14" s="56" t="s">
        <v>84</v>
      </c>
      <c r="N14" s="56" t="s">
        <v>85</v>
      </c>
      <c r="O14" s="57" t="s">
        <v>86</v>
      </c>
      <c r="P14" s="58" t="s">
        <v>87</v>
      </c>
    </row>
    <row r="15" spans="1:16" ht="12.75" customHeight="1" thickBot="1" x14ac:dyDescent="0.25">
      <c r="A15" s="18" t="str">
        <f t="shared" si="0"/>
        <v>IBVS 5583 </v>
      </c>
      <c r="B15" s="5" t="str">
        <f t="shared" si="1"/>
        <v>I</v>
      </c>
      <c r="C15" s="18">
        <f t="shared" si="2"/>
        <v>52440.4012</v>
      </c>
      <c r="D15" s="10" t="str">
        <f t="shared" si="3"/>
        <v>vis</v>
      </c>
      <c r="E15" s="54">
        <f>VLOOKUP(C15,'Active 1'!C$21:E$973,3,FALSE)</f>
        <v>49545.225560715393</v>
      </c>
      <c r="F15" s="5" t="s">
        <v>63</v>
      </c>
      <c r="G15" s="10" t="str">
        <f t="shared" si="4"/>
        <v>52440.4012</v>
      </c>
      <c r="H15" s="18">
        <f t="shared" si="5"/>
        <v>31477</v>
      </c>
      <c r="I15" s="55" t="s">
        <v>88</v>
      </c>
      <c r="J15" s="56" t="s">
        <v>89</v>
      </c>
      <c r="K15" s="55">
        <v>31477</v>
      </c>
      <c r="L15" s="55" t="s">
        <v>90</v>
      </c>
      <c r="M15" s="56" t="s">
        <v>68</v>
      </c>
      <c r="N15" s="56" t="s">
        <v>69</v>
      </c>
      <c r="O15" s="57" t="s">
        <v>75</v>
      </c>
      <c r="P15" s="58" t="s">
        <v>91</v>
      </c>
    </row>
    <row r="16" spans="1:16" ht="12.75" customHeight="1" thickBot="1" x14ac:dyDescent="0.25">
      <c r="A16" s="18" t="str">
        <f t="shared" si="0"/>
        <v>IBVS 5690 </v>
      </c>
      <c r="B16" s="5" t="str">
        <f t="shared" si="1"/>
        <v>I</v>
      </c>
      <c r="C16" s="18">
        <f t="shared" si="2"/>
        <v>53277.619299999998</v>
      </c>
      <c r="D16" s="10" t="str">
        <f t="shared" si="3"/>
        <v>vis</v>
      </c>
      <c r="E16" s="54">
        <f>VLOOKUP(C16,'Active 1'!C$21:E$973,3,FALSE)</f>
        <v>52638.232088694815</v>
      </c>
      <c r="F16" s="5" t="s">
        <v>63</v>
      </c>
      <c r="G16" s="10" t="str">
        <f t="shared" si="4"/>
        <v>53277.6193</v>
      </c>
      <c r="H16" s="18">
        <f t="shared" si="5"/>
        <v>33442</v>
      </c>
      <c r="I16" s="55" t="s">
        <v>92</v>
      </c>
      <c r="J16" s="56" t="s">
        <v>93</v>
      </c>
      <c r="K16" s="55">
        <v>33442</v>
      </c>
      <c r="L16" s="55" t="s">
        <v>94</v>
      </c>
      <c r="M16" s="56" t="s">
        <v>68</v>
      </c>
      <c r="N16" s="56" t="s">
        <v>69</v>
      </c>
      <c r="O16" s="57" t="s">
        <v>95</v>
      </c>
      <c r="P16" s="58" t="s">
        <v>96</v>
      </c>
    </row>
    <row r="17" spans="1:16" ht="12.75" customHeight="1" thickBot="1" x14ac:dyDescent="0.25">
      <c r="A17" s="18" t="str">
        <f t="shared" si="0"/>
        <v>IBVS 5690 </v>
      </c>
      <c r="B17" s="5" t="str">
        <f t="shared" si="1"/>
        <v>I</v>
      </c>
      <c r="C17" s="18">
        <f t="shared" si="2"/>
        <v>53335.545599999998</v>
      </c>
      <c r="D17" s="10" t="str">
        <f t="shared" si="3"/>
        <v>vis</v>
      </c>
      <c r="E17" s="54">
        <f>VLOOKUP(C17,'Active 1'!C$21:E$973,3,FALSE)</f>
        <v>52852.234179717088</v>
      </c>
      <c r="F17" s="5" t="s">
        <v>63</v>
      </c>
      <c r="G17" s="10" t="str">
        <f t="shared" si="4"/>
        <v>53335.5456</v>
      </c>
      <c r="H17" s="18">
        <f t="shared" si="5"/>
        <v>33578</v>
      </c>
      <c r="I17" s="55" t="s">
        <v>97</v>
      </c>
      <c r="J17" s="56" t="s">
        <v>98</v>
      </c>
      <c r="K17" s="55">
        <v>33578</v>
      </c>
      <c r="L17" s="55" t="s">
        <v>99</v>
      </c>
      <c r="M17" s="56" t="s">
        <v>68</v>
      </c>
      <c r="N17" s="56" t="s">
        <v>69</v>
      </c>
      <c r="O17" s="57" t="s">
        <v>95</v>
      </c>
      <c r="P17" s="58" t="s">
        <v>96</v>
      </c>
    </row>
    <row r="18" spans="1:16" ht="12.75" customHeight="1" thickBot="1" x14ac:dyDescent="0.25">
      <c r="A18" s="18" t="str">
        <f t="shared" si="0"/>
        <v>IBVS 5690 </v>
      </c>
      <c r="B18" s="5" t="str">
        <f t="shared" si="1"/>
        <v>II</v>
      </c>
      <c r="C18" s="18">
        <f t="shared" si="2"/>
        <v>53345.560400000002</v>
      </c>
      <c r="D18" s="10" t="str">
        <f t="shared" si="3"/>
        <v>vis</v>
      </c>
      <c r="E18" s="54">
        <f>VLOOKUP(C18,'Active 1'!C$21:E$973,3,FALSE)</f>
        <v>52889.232713046003</v>
      </c>
      <c r="F18" s="5" t="s">
        <v>63</v>
      </c>
      <c r="G18" s="10" t="str">
        <f t="shared" si="4"/>
        <v>53345.5604</v>
      </c>
      <c r="H18" s="18">
        <f t="shared" si="5"/>
        <v>33601.5</v>
      </c>
      <c r="I18" s="55" t="s">
        <v>100</v>
      </c>
      <c r="J18" s="56" t="s">
        <v>101</v>
      </c>
      <c r="K18" s="55">
        <v>33601.5</v>
      </c>
      <c r="L18" s="55" t="s">
        <v>102</v>
      </c>
      <c r="M18" s="56" t="s">
        <v>68</v>
      </c>
      <c r="N18" s="56" t="s">
        <v>69</v>
      </c>
      <c r="O18" s="57" t="s">
        <v>95</v>
      </c>
      <c r="P18" s="58" t="s">
        <v>96</v>
      </c>
    </row>
    <row r="19" spans="1:16" ht="12.75" customHeight="1" thickBot="1" x14ac:dyDescent="0.25">
      <c r="A19" s="18" t="str">
        <f t="shared" si="0"/>
        <v>BAVM 183 </v>
      </c>
      <c r="B19" s="5" t="str">
        <f t="shared" si="1"/>
        <v>II</v>
      </c>
      <c r="C19" s="18">
        <f t="shared" si="2"/>
        <v>53930.501300000004</v>
      </c>
      <c r="D19" s="10" t="str">
        <f t="shared" si="3"/>
        <v>vis</v>
      </c>
      <c r="E19" s="54">
        <f>VLOOKUP(C19,'Active 1'!C$21:E$973,3,FALSE)</f>
        <v>55050.229975506249</v>
      </c>
      <c r="F19" s="5" t="s">
        <v>63</v>
      </c>
      <c r="G19" s="10" t="str">
        <f t="shared" si="4"/>
        <v>53930.5013</v>
      </c>
      <c r="H19" s="18">
        <f t="shared" si="5"/>
        <v>34974.5</v>
      </c>
      <c r="I19" s="55" t="s">
        <v>103</v>
      </c>
      <c r="J19" s="56" t="s">
        <v>104</v>
      </c>
      <c r="K19" s="55">
        <v>34974.5</v>
      </c>
      <c r="L19" s="55" t="s">
        <v>105</v>
      </c>
      <c r="M19" s="56" t="s">
        <v>84</v>
      </c>
      <c r="N19" s="56" t="s">
        <v>85</v>
      </c>
      <c r="O19" s="57" t="s">
        <v>106</v>
      </c>
      <c r="P19" s="58" t="s">
        <v>107</v>
      </c>
    </row>
    <row r="20" spans="1:16" ht="12.75" customHeight="1" thickBot="1" x14ac:dyDescent="0.25">
      <c r="A20" s="18" t="str">
        <f t="shared" si="0"/>
        <v>BAVM 183 </v>
      </c>
      <c r="B20" s="5" t="str">
        <f t="shared" si="1"/>
        <v>II</v>
      </c>
      <c r="C20" s="18">
        <f t="shared" si="2"/>
        <v>53933.478799999997</v>
      </c>
      <c r="D20" s="10" t="str">
        <f t="shared" si="3"/>
        <v>vis</v>
      </c>
      <c r="E20" s="54">
        <f>VLOOKUP(C20,'Active 1'!C$21:E$973,3,FALSE)</f>
        <v>55061.230008755694</v>
      </c>
      <c r="F20" s="5" t="s">
        <v>63</v>
      </c>
      <c r="G20" s="10" t="str">
        <f t="shared" si="4"/>
        <v>53933.4788</v>
      </c>
      <c r="H20" s="18">
        <f t="shared" si="5"/>
        <v>34981.5</v>
      </c>
      <c r="I20" s="55" t="s">
        <v>108</v>
      </c>
      <c r="J20" s="56" t="s">
        <v>109</v>
      </c>
      <c r="K20" s="55">
        <v>34981.5</v>
      </c>
      <c r="L20" s="55" t="s">
        <v>110</v>
      </c>
      <c r="M20" s="56" t="s">
        <v>84</v>
      </c>
      <c r="N20" s="56" t="s">
        <v>85</v>
      </c>
      <c r="O20" s="57" t="s">
        <v>106</v>
      </c>
      <c r="P20" s="58" t="s">
        <v>107</v>
      </c>
    </row>
    <row r="21" spans="1:16" ht="12.75" customHeight="1" thickBot="1" x14ac:dyDescent="0.25">
      <c r="A21" s="18" t="str">
        <f t="shared" si="0"/>
        <v>BAVM 183 </v>
      </c>
      <c r="B21" s="5" t="str">
        <f t="shared" si="1"/>
        <v>II</v>
      </c>
      <c r="C21" s="18">
        <f t="shared" si="2"/>
        <v>54003.316500000001</v>
      </c>
      <c r="D21" s="10" t="str">
        <f t="shared" si="3"/>
        <v>vis</v>
      </c>
      <c r="E21" s="54">
        <f>VLOOKUP(C21,'Active 1'!C$21:E$973,3,FALSE)</f>
        <v>55319.237404915759</v>
      </c>
      <c r="F21" s="5" t="s">
        <v>63</v>
      </c>
      <c r="G21" s="10" t="str">
        <f t="shared" si="4"/>
        <v>54003.3165</v>
      </c>
      <c r="H21" s="18">
        <f t="shared" si="5"/>
        <v>35145.5</v>
      </c>
      <c r="I21" s="55" t="s">
        <v>111</v>
      </c>
      <c r="J21" s="56" t="s">
        <v>112</v>
      </c>
      <c r="K21" s="55">
        <v>35145.5</v>
      </c>
      <c r="L21" s="55" t="s">
        <v>113</v>
      </c>
      <c r="M21" s="56" t="s">
        <v>84</v>
      </c>
      <c r="N21" s="56" t="s">
        <v>114</v>
      </c>
      <c r="O21" s="57" t="s">
        <v>115</v>
      </c>
      <c r="P21" s="58" t="s">
        <v>107</v>
      </c>
    </row>
    <row r="22" spans="1:16" ht="12.75" customHeight="1" thickBot="1" x14ac:dyDescent="0.25">
      <c r="A22" s="18" t="str">
        <f t="shared" si="0"/>
        <v>BAVM 183 </v>
      </c>
      <c r="B22" s="5" t="str">
        <f t="shared" si="1"/>
        <v>II</v>
      </c>
      <c r="C22" s="18">
        <f t="shared" si="2"/>
        <v>54029.302000000003</v>
      </c>
      <c r="D22" s="10" t="str">
        <f t="shared" si="3"/>
        <v>vis</v>
      </c>
      <c r="E22" s="54">
        <f>VLOOKUP(C22,'Active 1'!C$21:E$973,3,FALSE)</f>
        <v>55415.237863019589</v>
      </c>
      <c r="F22" s="5" t="s">
        <v>63</v>
      </c>
      <c r="G22" s="10" t="str">
        <f t="shared" si="4"/>
        <v>54029.3020</v>
      </c>
      <c r="H22" s="18">
        <f t="shared" si="5"/>
        <v>35206.5</v>
      </c>
      <c r="I22" s="55" t="s">
        <v>116</v>
      </c>
      <c r="J22" s="56" t="s">
        <v>117</v>
      </c>
      <c r="K22" s="55" t="s">
        <v>118</v>
      </c>
      <c r="L22" s="55" t="s">
        <v>119</v>
      </c>
      <c r="M22" s="56" t="s">
        <v>84</v>
      </c>
      <c r="N22" s="56" t="s">
        <v>114</v>
      </c>
      <c r="O22" s="57" t="s">
        <v>115</v>
      </c>
      <c r="P22" s="58" t="s">
        <v>107</v>
      </c>
    </row>
    <row r="23" spans="1:16" ht="12.75" customHeight="1" thickBot="1" x14ac:dyDescent="0.25">
      <c r="A23" s="18" t="str">
        <f t="shared" si="0"/>
        <v>BAVM 228 </v>
      </c>
      <c r="B23" s="5" t="str">
        <f t="shared" si="1"/>
        <v>II</v>
      </c>
      <c r="C23" s="18">
        <f t="shared" si="2"/>
        <v>56009.597900000001</v>
      </c>
      <c r="D23" s="10" t="str">
        <f t="shared" si="3"/>
        <v>vis</v>
      </c>
      <c r="E23" s="54">
        <f>VLOOKUP(C23,'Active 1'!C$21:E$973,3,FALSE)</f>
        <v>62731.21460316758</v>
      </c>
      <c r="F23" s="5" t="s">
        <v>63</v>
      </c>
      <c r="G23" s="10" t="str">
        <f t="shared" si="4"/>
        <v>56009.5979</v>
      </c>
      <c r="H23" s="18">
        <f t="shared" si="5"/>
        <v>39854.5</v>
      </c>
      <c r="I23" s="55" t="s">
        <v>125</v>
      </c>
      <c r="J23" s="56" t="s">
        <v>126</v>
      </c>
      <c r="K23" s="55" t="s">
        <v>127</v>
      </c>
      <c r="L23" s="55" t="s">
        <v>128</v>
      </c>
      <c r="M23" s="56" t="s">
        <v>84</v>
      </c>
      <c r="N23" s="56" t="s">
        <v>85</v>
      </c>
      <c r="O23" s="57" t="s">
        <v>129</v>
      </c>
      <c r="P23" s="58" t="s">
        <v>130</v>
      </c>
    </row>
    <row r="24" spans="1:16" ht="12.75" customHeight="1" thickBot="1" x14ac:dyDescent="0.25">
      <c r="A24" s="18" t="str">
        <f t="shared" si="0"/>
        <v>BAVM 231 </v>
      </c>
      <c r="B24" s="5" t="str">
        <f t="shared" si="1"/>
        <v>I</v>
      </c>
      <c r="C24" s="18">
        <f t="shared" si="2"/>
        <v>56179.313300000002</v>
      </c>
      <c r="D24" s="10" t="str">
        <f t="shared" si="3"/>
        <v>vis</v>
      </c>
      <c r="E24" s="54">
        <f>VLOOKUP(C24,'Active 1'!C$21:E$973,3,FALSE)</f>
        <v>63358.208740177564</v>
      </c>
      <c r="F24" s="5" t="s">
        <v>63</v>
      </c>
      <c r="G24" s="10" t="str">
        <f t="shared" si="4"/>
        <v>56179.3133</v>
      </c>
      <c r="H24" s="18">
        <f t="shared" si="5"/>
        <v>40253</v>
      </c>
      <c r="I24" s="55" t="s">
        <v>131</v>
      </c>
      <c r="J24" s="56" t="s">
        <v>132</v>
      </c>
      <c r="K24" s="55" t="s">
        <v>133</v>
      </c>
      <c r="L24" s="55" t="s">
        <v>134</v>
      </c>
      <c r="M24" s="56" t="s">
        <v>84</v>
      </c>
      <c r="N24" s="56" t="s">
        <v>114</v>
      </c>
      <c r="O24" s="57" t="s">
        <v>115</v>
      </c>
      <c r="P24" s="58" t="s">
        <v>135</v>
      </c>
    </row>
    <row r="25" spans="1:16" ht="12.75" customHeight="1" thickBot="1" x14ac:dyDescent="0.25">
      <c r="A25" s="18" t="str">
        <f t="shared" si="0"/>
        <v>BAVM 231 </v>
      </c>
      <c r="B25" s="5" t="str">
        <f t="shared" si="1"/>
        <v>II</v>
      </c>
      <c r="C25" s="18">
        <f t="shared" si="2"/>
        <v>56179.584799999997</v>
      </c>
      <c r="D25" s="10" t="str">
        <f t="shared" si="3"/>
        <v>vis</v>
      </c>
      <c r="E25" s="54">
        <f>VLOOKUP(C25,'Active 1'!C$21:E$973,3,FALSE)</f>
        <v>63359.211765879394</v>
      </c>
      <c r="F25" s="5" t="s">
        <v>63</v>
      </c>
      <c r="G25" s="10" t="str">
        <f t="shared" si="4"/>
        <v>56179.5848</v>
      </c>
      <c r="H25" s="18">
        <f t="shared" si="5"/>
        <v>40253.5</v>
      </c>
      <c r="I25" s="55" t="s">
        <v>136</v>
      </c>
      <c r="J25" s="56" t="s">
        <v>137</v>
      </c>
      <c r="K25" s="55" t="s">
        <v>138</v>
      </c>
      <c r="L25" s="55" t="s">
        <v>139</v>
      </c>
      <c r="M25" s="56" t="s">
        <v>84</v>
      </c>
      <c r="N25" s="56" t="s">
        <v>114</v>
      </c>
      <c r="O25" s="57" t="s">
        <v>115</v>
      </c>
      <c r="P25" s="58" t="s">
        <v>135</v>
      </c>
    </row>
    <row r="26" spans="1:16" ht="12.75" customHeight="1" thickBot="1" x14ac:dyDescent="0.25">
      <c r="A26" s="18" t="str">
        <f t="shared" si="0"/>
        <v>BAVM 225 </v>
      </c>
      <c r="B26" s="5" t="str">
        <f t="shared" si="1"/>
        <v>II</v>
      </c>
      <c r="C26" s="18">
        <f t="shared" si="2"/>
        <v>55802.529300000002</v>
      </c>
      <c r="D26" s="10" t="str">
        <f t="shared" si="3"/>
        <v>vis</v>
      </c>
      <c r="E26" s="54">
        <f>VLOOKUP(C26,'Active 1'!C$21:E$973,3,FALSE)</f>
        <v>61966.223340389624</v>
      </c>
      <c r="F26" s="5" t="s">
        <v>63</v>
      </c>
      <c r="G26" s="10" t="str">
        <f t="shared" si="4"/>
        <v>55802.5293</v>
      </c>
      <c r="H26" s="18">
        <f t="shared" si="5"/>
        <v>39368.5</v>
      </c>
      <c r="I26" s="55" t="s">
        <v>120</v>
      </c>
      <c r="J26" s="56" t="s">
        <v>121</v>
      </c>
      <c r="K26" s="55" t="s">
        <v>122</v>
      </c>
      <c r="L26" s="55" t="s">
        <v>123</v>
      </c>
      <c r="M26" s="56" t="s">
        <v>84</v>
      </c>
      <c r="N26" s="56" t="s">
        <v>114</v>
      </c>
      <c r="O26" s="57" t="s">
        <v>115</v>
      </c>
      <c r="P26" s="58" t="s">
        <v>124</v>
      </c>
    </row>
    <row r="27" spans="1:16" x14ac:dyDescent="0.2">
      <c r="B27" s="5"/>
      <c r="E27" s="54"/>
      <c r="F27" s="5"/>
    </row>
    <row r="28" spans="1:16" x14ac:dyDescent="0.2">
      <c r="B28" s="5"/>
      <c r="E28" s="54"/>
      <c r="F28" s="5"/>
    </row>
    <row r="29" spans="1:16" x14ac:dyDescent="0.2">
      <c r="B29" s="5"/>
      <c r="E29" s="54"/>
      <c r="F29" s="5"/>
    </row>
    <row r="30" spans="1:16" x14ac:dyDescent="0.2">
      <c r="B30" s="5"/>
      <c r="E30" s="54"/>
      <c r="F30" s="5"/>
    </row>
    <row r="31" spans="1:16" x14ac:dyDescent="0.2">
      <c r="B31" s="5"/>
      <c r="E31" s="54"/>
      <c r="F31" s="5"/>
    </row>
    <row r="32" spans="1:16" x14ac:dyDescent="0.2">
      <c r="B32" s="5"/>
      <c r="E32" s="54"/>
      <c r="F32" s="5"/>
    </row>
    <row r="33" spans="2:6" x14ac:dyDescent="0.2">
      <c r="B33" s="5"/>
      <c r="E33" s="54"/>
      <c r="F33" s="5"/>
    </row>
    <row r="34" spans="2:6" x14ac:dyDescent="0.2">
      <c r="B34" s="5"/>
      <c r="E34" s="54"/>
      <c r="F34" s="5"/>
    </row>
    <row r="35" spans="2:6" x14ac:dyDescent="0.2">
      <c r="B35" s="5"/>
      <c r="E35" s="54"/>
      <c r="F35" s="5"/>
    </row>
    <row r="36" spans="2:6" x14ac:dyDescent="0.2">
      <c r="B36" s="5"/>
      <c r="E36" s="54"/>
      <c r="F36" s="5"/>
    </row>
    <row r="37" spans="2:6" x14ac:dyDescent="0.2">
      <c r="B37" s="5"/>
      <c r="E37" s="54"/>
      <c r="F37" s="5"/>
    </row>
    <row r="38" spans="2:6" x14ac:dyDescent="0.2">
      <c r="B38" s="5"/>
      <c r="E38" s="54"/>
      <c r="F38" s="5"/>
    </row>
    <row r="39" spans="2:6" x14ac:dyDescent="0.2">
      <c r="B39" s="5"/>
      <c r="E39" s="54"/>
      <c r="F39" s="5"/>
    </row>
    <row r="40" spans="2:6" x14ac:dyDescent="0.2">
      <c r="B40" s="5"/>
      <c r="E40" s="54"/>
      <c r="F40" s="5"/>
    </row>
    <row r="41" spans="2:6" x14ac:dyDescent="0.2">
      <c r="B41" s="5"/>
      <c r="E41" s="54"/>
      <c r="F41" s="5"/>
    </row>
    <row r="42" spans="2:6" x14ac:dyDescent="0.2">
      <c r="B42" s="5"/>
      <c r="E42" s="54"/>
      <c r="F42" s="5"/>
    </row>
    <row r="43" spans="2:6" x14ac:dyDescent="0.2">
      <c r="B43" s="5"/>
      <c r="E43" s="54"/>
      <c r="F43" s="5"/>
    </row>
    <row r="44" spans="2:6" x14ac:dyDescent="0.2">
      <c r="B44" s="5"/>
      <c r="E44" s="54"/>
      <c r="F44" s="5"/>
    </row>
    <row r="45" spans="2:6" x14ac:dyDescent="0.2">
      <c r="B45" s="5"/>
      <c r="E45" s="54"/>
      <c r="F45" s="5"/>
    </row>
    <row r="46" spans="2:6" x14ac:dyDescent="0.2">
      <c r="B46" s="5"/>
      <c r="E46" s="54"/>
      <c r="F46" s="5"/>
    </row>
    <row r="47" spans="2:6" x14ac:dyDescent="0.2">
      <c r="B47" s="5"/>
      <c r="E47" s="54"/>
      <c r="F47" s="5"/>
    </row>
    <row r="48" spans="2:6" x14ac:dyDescent="0.2">
      <c r="B48" s="5"/>
      <c r="E48" s="54"/>
      <c r="F48" s="5"/>
    </row>
    <row r="49" spans="2:6" x14ac:dyDescent="0.2">
      <c r="B49" s="5"/>
      <c r="E49" s="54"/>
      <c r="F49" s="5"/>
    </row>
    <row r="50" spans="2:6" x14ac:dyDescent="0.2">
      <c r="B50" s="5"/>
      <c r="E50" s="54"/>
      <c r="F50" s="5"/>
    </row>
    <row r="51" spans="2:6" x14ac:dyDescent="0.2">
      <c r="B51" s="5"/>
      <c r="E51" s="54"/>
      <c r="F51" s="5"/>
    </row>
    <row r="52" spans="2:6" x14ac:dyDescent="0.2">
      <c r="B52" s="5"/>
      <c r="E52" s="54"/>
      <c r="F52" s="5"/>
    </row>
    <row r="53" spans="2:6" x14ac:dyDescent="0.2">
      <c r="B53" s="5"/>
      <c r="E53" s="54"/>
      <c r="F53" s="5"/>
    </row>
    <row r="54" spans="2:6" x14ac:dyDescent="0.2">
      <c r="B54" s="5"/>
      <c r="E54" s="54"/>
      <c r="F54" s="5"/>
    </row>
    <row r="55" spans="2:6" x14ac:dyDescent="0.2">
      <c r="B55" s="5"/>
      <c r="E55" s="54"/>
      <c r="F55" s="5"/>
    </row>
    <row r="56" spans="2:6" x14ac:dyDescent="0.2">
      <c r="B56" s="5"/>
      <c r="E56" s="54"/>
      <c r="F56" s="5"/>
    </row>
    <row r="57" spans="2:6" x14ac:dyDescent="0.2">
      <c r="B57" s="5"/>
      <c r="E57" s="54"/>
      <c r="F57" s="5"/>
    </row>
    <row r="58" spans="2:6" x14ac:dyDescent="0.2">
      <c r="B58" s="5"/>
      <c r="E58" s="54"/>
      <c r="F58" s="5"/>
    </row>
    <row r="59" spans="2:6" x14ac:dyDescent="0.2">
      <c r="B59" s="5"/>
      <c r="E59" s="54"/>
      <c r="F59" s="5"/>
    </row>
    <row r="60" spans="2:6" x14ac:dyDescent="0.2">
      <c r="B60" s="5"/>
      <c r="E60" s="54"/>
      <c r="F60" s="5"/>
    </row>
    <row r="61" spans="2:6" x14ac:dyDescent="0.2">
      <c r="B61" s="5"/>
      <c r="E61" s="54"/>
      <c r="F61" s="5"/>
    </row>
    <row r="62" spans="2:6" x14ac:dyDescent="0.2">
      <c r="B62" s="5"/>
      <c r="E62" s="54"/>
      <c r="F62" s="5"/>
    </row>
    <row r="63" spans="2:6" x14ac:dyDescent="0.2">
      <c r="B63" s="5"/>
      <c r="E63" s="54"/>
      <c r="F63" s="5"/>
    </row>
    <row r="64" spans="2:6" x14ac:dyDescent="0.2">
      <c r="B64" s="5"/>
      <c r="E64" s="54"/>
      <c r="F64" s="5"/>
    </row>
    <row r="65" spans="2:6" x14ac:dyDescent="0.2">
      <c r="B65" s="5"/>
      <c r="E65" s="54"/>
      <c r="F65" s="5"/>
    </row>
    <row r="66" spans="2:6" x14ac:dyDescent="0.2">
      <c r="B66" s="5"/>
      <c r="E66" s="54"/>
      <c r="F66" s="5"/>
    </row>
    <row r="67" spans="2:6" x14ac:dyDescent="0.2">
      <c r="B67" s="5"/>
      <c r="E67" s="54"/>
      <c r="F67" s="5"/>
    </row>
    <row r="68" spans="2:6" x14ac:dyDescent="0.2">
      <c r="B68" s="5"/>
      <c r="E68" s="54"/>
      <c r="F68" s="5"/>
    </row>
    <row r="69" spans="2:6" x14ac:dyDescent="0.2">
      <c r="B69" s="5"/>
      <c r="E69" s="54"/>
      <c r="F69" s="5"/>
    </row>
    <row r="70" spans="2:6" x14ac:dyDescent="0.2">
      <c r="B70" s="5"/>
      <c r="E70" s="54"/>
      <c r="F70" s="5"/>
    </row>
    <row r="71" spans="2:6" x14ac:dyDescent="0.2">
      <c r="B71" s="5"/>
      <c r="E71" s="54"/>
      <c r="F71" s="5"/>
    </row>
    <row r="72" spans="2:6" x14ac:dyDescent="0.2">
      <c r="B72" s="5"/>
      <c r="E72" s="54"/>
      <c r="F72" s="5"/>
    </row>
    <row r="73" spans="2:6" x14ac:dyDescent="0.2">
      <c r="B73" s="5"/>
      <c r="E73" s="54"/>
      <c r="F73" s="5"/>
    </row>
    <row r="74" spans="2:6" x14ac:dyDescent="0.2">
      <c r="B74" s="5"/>
      <c r="E74" s="54"/>
      <c r="F74" s="5"/>
    </row>
    <row r="75" spans="2:6" x14ac:dyDescent="0.2">
      <c r="B75" s="5"/>
      <c r="E75" s="54"/>
      <c r="F75" s="5"/>
    </row>
    <row r="76" spans="2:6" x14ac:dyDescent="0.2">
      <c r="B76" s="5"/>
      <c r="E76" s="54"/>
      <c r="F76" s="5"/>
    </row>
    <row r="77" spans="2:6" x14ac:dyDescent="0.2">
      <c r="B77" s="5"/>
      <c r="E77" s="54"/>
      <c r="F77" s="5"/>
    </row>
    <row r="78" spans="2:6" x14ac:dyDescent="0.2">
      <c r="B78" s="5"/>
      <c r="E78" s="54"/>
      <c r="F78" s="5"/>
    </row>
    <row r="79" spans="2:6" x14ac:dyDescent="0.2">
      <c r="B79" s="5"/>
      <c r="E79" s="54"/>
      <c r="F79" s="5"/>
    </row>
    <row r="80" spans="2:6" x14ac:dyDescent="0.2">
      <c r="B80" s="5"/>
      <c r="E80" s="54"/>
      <c r="F80" s="5"/>
    </row>
    <row r="81" spans="2:6" x14ac:dyDescent="0.2">
      <c r="B81" s="5"/>
      <c r="E81" s="54"/>
      <c r="F81" s="5"/>
    </row>
    <row r="82" spans="2:6" x14ac:dyDescent="0.2">
      <c r="B82" s="5"/>
      <c r="E82" s="54"/>
      <c r="F82" s="5"/>
    </row>
    <row r="83" spans="2:6" x14ac:dyDescent="0.2">
      <c r="B83" s="5"/>
      <c r="E83" s="54"/>
      <c r="F83" s="5"/>
    </row>
    <row r="84" spans="2:6" x14ac:dyDescent="0.2">
      <c r="B84" s="5"/>
      <c r="E84" s="54"/>
      <c r="F84" s="5"/>
    </row>
    <row r="85" spans="2:6" x14ac:dyDescent="0.2">
      <c r="B85" s="5"/>
      <c r="E85" s="54"/>
      <c r="F85" s="5"/>
    </row>
    <row r="86" spans="2:6" x14ac:dyDescent="0.2">
      <c r="B86" s="5"/>
      <c r="E86" s="54"/>
      <c r="F86" s="5"/>
    </row>
    <row r="87" spans="2:6" x14ac:dyDescent="0.2">
      <c r="B87" s="5"/>
      <c r="E87" s="54"/>
      <c r="F87" s="5"/>
    </row>
    <row r="88" spans="2:6" x14ac:dyDescent="0.2">
      <c r="B88" s="5"/>
      <c r="E88" s="54"/>
      <c r="F88" s="5"/>
    </row>
    <row r="89" spans="2:6" x14ac:dyDescent="0.2">
      <c r="B89" s="5"/>
      <c r="E89" s="54"/>
      <c r="F89" s="5"/>
    </row>
    <row r="90" spans="2:6" x14ac:dyDescent="0.2">
      <c r="B90" s="5"/>
      <c r="E90" s="54"/>
      <c r="F90" s="5"/>
    </row>
    <row r="91" spans="2:6" x14ac:dyDescent="0.2">
      <c r="B91" s="5"/>
      <c r="E91" s="54"/>
      <c r="F91" s="5"/>
    </row>
    <row r="92" spans="2:6" x14ac:dyDescent="0.2">
      <c r="B92" s="5"/>
      <c r="E92" s="54"/>
      <c r="F92" s="5"/>
    </row>
    <row r="93" spans="2:6" x14ac:dyDescent="0.2">
      <c r="B93" s="5"/>
      <c r="E93" s="54"/>
      <c r="F93" s="5"/>
    </row>
    <row r="94" spans="2:6" x14ac:dyDescent="0.2">
      <c r="B94" s="5"/>
      <c r="E94" s="54"/>
      <c r="F94" s="5"/>
    </row>
    <row r="95" spans="2:6" x14ac:dyDescent="0.2">
      <c r="B95" s="5"/>
      <c r="E95" s="54"/>
      <c r="F95" s="5"/>
    </row>
    <row r="96" spans="2:6" x14ac:dyDescent="0.2">
      <c r="B96" s="5"/>
      <c r="E96" s="54"/>
      <c r="F96" s="5"/>
    </row>
    <row r="97" spans="2:6" x14ac:dyDescent="0.2">
      <c r="B97" s="5"/>
      <c r="E97" s="54"/>
      <c r="F97" s="5"/>
    </row>
    <row r="98" spans="2:6" x14ac:dyDescent="0.2">
      <c r="B98" s="5"/>
      <c r="E98" s="54"/>
      <c r="F98" s="5"/>
    </row>
    <row r="99" spans="2:6" x14ac:dyDescent="0.2">
      <c r="B99" s="5"/>
      <c r="E99" s="54"/>
      <c r="F99" s="5"/>
    </row>
    <row r="100" spans="2:6" x14ac:dyDescent="0.2">
      <c r="B100" s="5"/>
      <c r="E100" s="54"/>
      <c r="F100" s="5"/>
    </row>
    <row r="101" spans="2:6" x14ac:dyDescent="0.2">
      <c r="B101" s="5"/>
      <c r="E101" s="54"/>
      <c r="F101" s="5"/>
    </row>
    <row r="102" spans="2:6" x14ac:dyDescent="0.2">
      <c r="B102" s="5"/>
      <c r="E102" s="54"/>
      <c r="F102" s="5"/>
    </row>
    <row r="103" spans="2:6" x14ac:dyDescent="0.2">
      <c r="B103" s="5"/>
      <c r="E103" s="54"/>
      <c r="F103" s="5"/>
    </row>
    <row r="104" spans="2:6" x14ac:dyDescent="0.2">
      <c r="B104" s="5"/>
      <c r="E104" s="54"/>
      <c r="F104" s="5"/>
    </row>
    <row r="105" spans="2:6" x14ac:dyDescent="0.2">
      <c r="B105" s="5"/>
      <c r="E105" s="54"/>
      <c r="F105" s="5"/>
    </row>
    <row r="106" spans="2:6" x14ac:dyDescent="0.2">
      <c r="B106" s="5"/>
      <c r="E106" s="54"/>
      <c r="F106" s="5"/>
    </row>
    <row r="107" spans="2:6" x14ac:dyDescent="0.2">
      <c r="B107" s="5"/>
      <c r="E107" s="54"/>
      <c r="F107" s="5"/>
    </row>
    <row r="108" spans="2:6" x14ac:dyDescent="0.2">
      <c r="B108" s="5"/>
      <c r="E108" s="54"/>
      <c r="F108" s="5"/>
    </row>
    <row r="109" spans="2:6" x14ac:dyDescent="0.2">
      <c r="B109" s="5"/>
      <c r="E109" s="54"/>
      <c r="F109" s="5"/>
    </row>
    <row r="110" spans="2:6" x14ac:dyDescent="0.2">
      <c r="B110" s="5"/>
      <c r="E110" s="54"/>
      <c r="F110" s="5"/>
    </row>
    <row r="111" spans="2:6" x14ac:dyDescent="0.2">
      <c r="B111" s="5"/>
      <c r="E111" s="54"/>
      <c r="F111" s="5"/>
    </row>
    <row r="112" spans="2:6" x14ac:dyDescent="0.2">
      <c r="B112" s="5"/>
      <c r="E112" s="54"/>
      <c r="F112" s="5"/>
    </row>
    <row r="113" spans="2:6" x14ac:dyDescent="0.2">
      <c r="B113" s="5"/>
      <c r="E113" s="54"/>
      <c r="F113" s="5"/>
    </row>
    <row r="114" spans="2:6" x14ac:dyDescent="0.2">
      <c r="B114" s="5"/>
      <c r="E114" s="54"/>
      <c r="F114" s="5"/>
    </row>
    <row r="115" spans="2:6" x14ac:dyDescent="0.2">
      <c r="B115" s="5"/>
      <c r="E115" s="54"/>
      <c r="F115" s="5"/>
    </row>
    <row r="116" spans="2:6" x14ac:dyDescent="0.2">
      <c r="B116" s="5"/>
      <c r="E116" s="54"/>
      <c r="F116" s="5"/>
    </row>
    <row r="117" spans="2:6" x14ac:dyDescent="0.2">
      <c r="B117" s="5"/>
      <c r="E117" s="54"/>
      <c r="F117" s="5"/>
    </row>
    <row r="118" spans="2:6" x14ac:dyDescent="0.2">
      <c r="B118" s="5"/>
      <c r="E118" s="54"/>
      <c r="F118" s="5"/>
    </row>
    <row r="119" spans="2:6" x14ac:dyDescent="0.2">
      <c r="B119" s="5"/>
      <c r="E119" s="54"/>
      <c r="F119" s="5"/>
    </row>
    <row r="120" spans="2:6" x14ac:dyDescent="0.2">
      <c r="B120" s="5"/>
      <c r="E120" s="54"/>
      <c r="F120" s="5"/>
    </row>
    <row r="121" spans="2:6" x14ac:dyDescent="0.2">
      <c r="B121" s="5"/>
      <c r="E121" s="54"/>
      <c r="F121" s="5"/>
    </row>
    <row r="122" spans="2:6" x14ac:dyDescent="0.2">
      <c r="B122" s="5"/>
      <c r="E122" s="54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</sheetData>
  <phoneticPr fontId="7" type="noConversion"/>
  <hyperlinks>
    <hyperlink ref="P12" r:id="rId1" display="http://www.konkoly.hu/cgi-bin/IBVS?5263" xr:uid="{00000000-0004-0000-0300-000000000000}"/>
    <hyperlink ref="P13" r:id="rId2" display="http://www.konkoly.hu/cgi-bin/IBVS?5287" xr:uid="{00000000-0004-0000-0300-000001000000}"/>
    <hyperlink ref="P14" r:id="rId3" display="http://var.astro.cz/oejv/issues/oejv0074.pdf" xr:uid="{00000000-0004-0000-0300-000002000000}"/>
    <hyperlink ref="P15" r:id="rId4" display="http://www.konkoly.hu/cgi-bin/IBVS?5583" xr:uid="{00000000-0004-0000-0300-000003000000}"/>
    <hyperlink ref="P16" r:id="rId5" display="http://www.konkoly.hu/cgi-bin/IBVS?5690" xr:uid="{00000000-0004-0000-0300-000004000000}"/>
    <hyperlink ref="P17" r:id="rId6" display="http://www.konkoly.hu/cgi-bin/IBVS?5690" xr:uid="{00000000-0004-0000-0300-000005000000}"/>
    <hyperlink ref="P18" r:id="rId7" display="http://www.konkoly.hu/cgi-bin/IBVS?5690" xr:uid="{00000000-0004-0000-0300-000006000000}"/>
    <hyperlink ref="P19" r:id="rId8" display="http://www.bav-astro.de/sfs/BAVM_link.php?BAVMnr=183" xr:uid="{00000000-0004-0000-0300-000007000000}"/>
    <hyperlink ref="P20" r:id="rId9" display="http://www.bav-astro.de/sfs/BAVM_link.php?BAVMnr=183" xr:uid="{00000000-0004-0000-0300-000008000000}"/>
    <hyperlink ref="P21" r:id="rId10" display="http://www.bav-astro.de/sfs/BAVM_link.php?BAVMnr=183" xr:uid="{00000000-0004-0000-0300-000009000000}"/>
    <hyperlink ref="P22" r:id="rId11" display="http://www.bav-astro.de/sfs/BAVM_link.php?BAVMnr=183" xr:uid="{00000000-0004-0000-0300-00000A000000}"/>
    <hyperlink ref="P26" r:id="rId12" display="http://www.bav-astro.de/sfs/BAVM_link.php?BAVMnr=225" xr:uid="{00000000-0004-0000-0300-00000B000000}"/>
    <hyperlink ref="P23" r:id="rId13" display="http://www.bav-astro.de/sfs/BAVM_link.php?BAVMnr=228" xr:uid="{00000000-0004-0000-0300-00000C000000}"/>
    <hyperlink ref="P24" r:id="rId14" display="http://www.bav-astro.de/sfs/BAVM_link.php?BAVMnr=231" xr:uid="{00000000-0004-0000-0300-00000D000000}"/>
    <hyperlink ref="P25" r:id="rId15" display="http://www.bav-astro.de/sfs/BAVM_link.php?BAVMnr=231" xr:uid="{00000000-0004-0000-03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2024-02-02T04:06:15Z</dcterms:modified>
</cp:coreProperties>
</file>