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377282B-E076-4216-A670-B931643B74F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C7" i="3" l="1"/>
  <c r="C9" i="3"/>
  <c r="D9" i="3"/>
  <c r="E22" i="3"/>
  <c r="F22" i="3"/>
  <c r="E24" i="3"/>
  <c r="F24" i="3"/>
  <c r="G24" i="3"/>
  <c r="I24" i="3"/>
  <c r="E25" i="3"/>
  <c r="F25" i="3"/>
  <c r="E27" i="3"/>
  <c r="F27" i="3"/>
  <c r="G27" i="3"/>
  <c r="I27" i="3"/>
  <c r="E29" i="3"/>
  <c r="F29" i="3"/>
  <c r="G29" i="3"/>
  <c r="I29" i="3"/>
  <c r="E30" i="3"/>
  <c r="F30" i="3"/>
  <c r="E32" i="3"/>
  <c r="F32" i="3"/>
  <c r="G32" i="3"/>
  <c r="I32" i="3"/>
  <c r="E33" i="3"/>
  <c r="F33" i="3"/>
  <c r="E21" i="3"/>
  <c r="F21" i="3"/>
  <c r="F17" i="3"/>
  <c r="C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3" i="1"/>
  <c r="Q34" i="1"/>
  <c r="Q32" i="1"/>
  <c r="D9" i="1"/>
  <c r="C9" i="1"/>
  <c r="Q29" i="1"/>
  <c r="Q28" i="1"/>
  <c r="Q27" i="1"/>
  <c r="Q26" i="1"/>
  <c r="Q25" i="1"/>
  <c r="Q24" i="1"/>
  <c r="Q23" i="1"/>
  <c r="Q22" i="1"/>
  <c r="G21" i="2"/>
  <c r="C21" i="2"/>
  <c r="C21" i="1"/>
  <c r="G12" i="2"/>
  <c r="C12" i="2"/>
  <c r="G11" i="2"/>
  <c r="C1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21" i="2"/>
  <c r="D21" i="2"/>
  <c r="B21" i="2"/>
  <c r="A21" i="2"/>
  <c r="H12" i="2"/>
  <c r="B12" i="2"/>
  <c r="D12" i="2"/>
  <c r="A12" i="2"/>
  <c r="H11" i="2"/>
  <c r="D11" i="2"/>
  <c r="B11" i="2"/>
  <c r="A1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Q30" i="1"/>
  <c r="F17" i="1"/>
  <c r="C17" i="1"/>
  <c r="Q31" i="1"/>
  <c r="C7" i="1"/>
  <c r="E26" i="1"/>
  <c r="F26" i="1"/>
  <c r="C8" i="1"/>
  <c r="Q21" i="1"/>
  <c r="E18" i="2"/>
  <c r="E13" i="2"/>
  <c r="G21" i="3"/>
  <c r="E14" i="2"/>
  <c r="E12" i="2"/>
  <c r="E17" i="2"/>
  <c r="G22" i="3"/>
  <c r="J22" i="3"/>
  <c r="E29" i="1"/>
  <c r="F29" i="1"/>
  <c r="G29" i="1"/>
  <c r="I29" i="1"/>
  <c r="G25" i="1"/>
  <c r="I25" i="1"/>
  <c r="E23" i="1"/>
  <c r="F23" i="1"/>
  <c r="G28" i="1"/>
  <c r="I28" i="1"/>
  <c r="G22" i="1"/>
  <c r="E31" i="1"/>
  <c r="F31" i="1"/>
  <c r="G31" i="1"/>
  <c r="J31" i="1"/>
  <c r="E25" i="1"/>
  <c r="F25" i="1"/>
  <c r="E33" i="1"/>
  <c r="F33" i="1"/>
  <c r="G33" i="1"/>
  <c r="K33" i="1"/>
  <c r="G30" i="1"/>
  <c r="K30" i="1"/>
  <c r="E28" i="1"/>
  <c r="F28" i="1"/>
  <c r="E22" i="1"/>
  <c r="F22" i="1"/>
  <c r="E27" i="1"/>
  <c r="F27" i="1"/>
  <c r="G27" i="1"/>
  <c r="I27" i="1"/>
  <c r="E21" i="1"/>
  <c r="F21" i="1"/>
  <c r="G21" i="1"/>
  <c r="H21" i="1"/>
  <c r="E30" i="1"/>
  <c r="F30" i="1"/>
  <c r="G26" i="1"/>
  <c r="K26" i="1"/>
  <c r="E24" i="1"/>
  <c r="F24" i="1"/>
  <c r="G24" i="1"/>
  <c r="I24" i="1"/>
  <c r="Q21" i="3"/>
  <c r="E34" i="3"/>
  <c r="F34" i="3"/>
  <c r="G34" i="3"/>
  <c r="K34" i="3"/>
  <c r="E26" i="3"/>
  <c r="F26" i="3"/>
  <c r="G26" i="3"/>
  <c r="I26" i="3"/>
  <c r="G23" i="1"/>
  <c r="I23" i="1"/>
  <c r="E34" i="1"/>
  <c r="F34" i="1"/>
  <c r="G34" i="1"/>
  <c r="K34" i="1"/>
  <c r="C17" i="3"/>
  <c r="G33" i="3"/>
  <c r="K33" i="3"/>
  <c r="E31" i="3"/>
  <c r="F31" i="3"/>
  <c r="G31" i="3"/>
  <c r="J31" i="3"/>
  <c r="G25" i="3"/>
  <c r="I25" i="3"/>
  <c r="E23" i="3"/>
  <c r="F23" i="3"/>
  <c r="G23" i="3"/>
  <c r="I23" i="3"/>
  <c r="E32" i="1"/>
  <c r="F32" i="1"/>
  <c r="G32" i="1"/>
  <c r="K32" i="1"/>
  <c r="G30" i="3"/>
  <c r="K30" i="3"/>
  <c r="E28" i="3"/>
  <c r="F28" i="3"/>
  <c r="G28" i="3"/>
  <c r="I28" i="3"/>
  <c r="E15" i="2"/>
  <c r="E11" i="2"/>
  <c r="J22" i="1"/>
  <c r="E20" i="2"/>
  <c r="E21" i="2"/>
  <c r="H21" i="3"/>
  <c r="E16" i="2"/>
  <c r="E19" i="2"/>
  <c r="C12" i="1"/>
  <c r="C11" i="1"/>
  <c r="C12" i="3"/>
  <c r="C11" i="3"/>
  <c r="O24" i="3" l="1"/>
  <c r="R24" i="3" s="1"/>
  <c r="O31" i="3"/>
  <c r="R31" i="3" s="1"/>
  <c r="O30" i="3"/>
  <c r="R30" i="3" s="1"/>
  <c r="O29" i="3"/>
  <c r="R29" i="3" s="1"/>
  <c r="O28" i="3"/>
  <c r="R28" i="3" s="1"/>
  <c r="O23" i="3"/>
  <c r="R23" i="3" s="1"/>
  <c r="O22" i="3"/>
  <c r="R22" i="3" s="1"/>
  <c r="O21" i="3"/>
  <c r="R21" i="3" s="1"/>
  <c r="O33" i="3"/>
  <c r="R33" i="3" s="1"/>
  <c r="O32" i="3"/>
  <c r="R32" i="3" s="1"/>
  <c r="O27" i="3"/>
  <c r="R27" i="3" s="1"/>
  <c r="O26" i="3"/>
  <c r="R26" i="3" s="1"/>
  <c r="O25" i="3"/>
  <c r="R25" i="3" s="1"/>
  <c r="O34" i="3"/>
  <c r="R34" i="3" s="1"/>
  <c r="C15" i="3"/>
  <c r="C16" i="3"/>
  <c r="D18" i="3" s="1"/>
  <c r="O26" i="1"/>
  <c r="R26" i="1" s="1"/>
  <c r="O27" i="1"/>
  <c r="R27" i="1" s="1"/>
  <c r="O32" i="1"/>
  <c r="R32" i="1" s="1"/>
  <c r="O33" i="1"/>
  <c r="R33" i="1" s="1"/>
  <c r="O22" i="1"/>
  <c r="R22" i="1" s="1"/>
  <c r="O29" i="1"/>
  <c r="R29" i="1" s="1"/>
  <c r="O23" i="1"/>
  <c r="R23" i="1" s="1"/>
  <c r="O28" i="1"/>
  <c r="R28" i="1" s="1"/>
  <c r="O30" i="1"/>
  <c r="R30" i="1" s="1"/>
  <c r="O31" i="1"/>
  <c r="R31" i="1" s="1"/>
  <c r="O21" i="1"/>
  <c r="R21" i="1" s="1"/>
  <c r="C15" i="1"/>
  <c r="O34" i="1"/>
  <c r="R34" i="1" s="1"/>
  <c r="O24" i="1"/>
  <c r="R24" i="1" s="1"/>
  <c r="O25" i="1"/>
  <c r="R25" i="1" s="1"/>
  <c r="C16" i="1"/>
  <c r="D18" i="1" s="1"/>
  <c r="R19" i="3" l="1"/>
  <c r="C18" i="3"/>
  <c r="R19" i="1"/>
  <c r="F18" i="3"/>
  <c r="F19" i="3" s="1"/>
  <c r="C18" i="1"/>
  <c r="F18" i="1"/>
  <c r="F19" i="1" s="1"/>
</calcChain>
</file>

<file path=xl/sharedStrings.xml><?xml version="1.0" encoding="utf-8"?>
<sst xmlns="http://schemas.openxmlformats.org/spreadsheetml/2006/main" count="257" uniqueCount="104">
  <si>
    <t>rms dev'n</t>
  </si>
  <si>
    <t>2017-11-28 new period from ToMcat (period search software)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</si>
  <si>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</si>
  <si>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</si>
  <si>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</si>
  <si>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</si>
  <si>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</si>
  <si>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</si>
  <si>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</si>
  <si>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</si>
  <si>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</si>
  <si>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</si>
  <si>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</si>
  <si>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</si>
  <si>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</si>
  <si>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</si>
  <si>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</si>
  <si>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</si>
  <si>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</si>
  <si>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</si>
  <si>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</si>
  <si>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</si>
  <si>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</si>
  <si>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</si>
  <si>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</si>
  <si>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</si>
  <si>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</si>
  <si>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</si>
  <si>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</si>
  <si>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</si>
  <si>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EW/KW</t>
  </si>
  <si>
    <t>IBVS 5484</t>
  </si>
  <si>
    <t># of data points:</t>
  </si>
  <si>
    <t>V940 Cyg / GSC 03942-00568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</si>
  <si>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</si>
  <si>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</si>
  <si>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</si>
  <si>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</si>
  <si>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</si>
  <si>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</si>
  <si>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</si>
  <si>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II</t>
  </si>
  <si>
    <t>CCD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</si>
  <si>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</si>
  <si>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</si>
  <si>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</si>
  <si>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</si>
  <si>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</si>
  <si>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</si>
  <si>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</si>
  <si>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</si>
  <si>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</si>
  <si>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</si>
  <si>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2451435.3218 </t>
  </si>
  <si>
    <t> 13.09.1999 19:43 </t>
  </si>
  <si>
    <t> 0.0573 </t>
  </si>
  <si>
    <t>E </t>
  </si>
  <si>
    <t>?</t>
  </si>
  <si>
    <t> E.Blättler </t>
  </si>
  <si>
    <t> BBS 121 </t>
  </si>
  <si>
    <t>2451513.2960 </t>
  </si>
  <si>
    <t> 30.11.1999 19:06 </t>
  </si>
  <si>
    <t> 0.1025 </t>
  </si>
  <si>
    <t>2451549.372 </t>
  </si>
  <si>
    <t> 05.01.2000 20:55 </t>
  </si>
  <si>
    <t> 0.122 </t>
  </si>
  <si>
    <t> BBS 122 </t>
  </si>
  <si>
    <t>2451551.364 </t>
  </si>
  <si>
    <t> 07.01.2000 20:44 </t>
  </si>
  <si>
    <t> 0.120 </t>
  </si>
  <si>
    <t>2451551.5341 </t>
  </si>
  <si>
    <t> 08.01.2000 00:49 </t>
  </si>
  <si>
    <t> 0.1238 </t>
  </si>
  <si>
    <t>2451675.400 </t>
  </si>
  <si>
    <t> 10.05.2000 21:36 </t>
  </si>
  <si>
    <t> 0.034 </t>
  </si>
  <si>
    <t> BBS 123 </t>
  </si>
  <si>
    <t>2451860.2710 </t>
  </si>
  <si>
    <t> 11.11.2000 18:30 </t>
  </si>
  <si>
    <t> 0.1354 </t>
  </si>
  <si>
    <t> BBS 124 </t>
  </si>
  <si>
    <t>2451860.434 </t>
  </si>
  <si>
    <t> 11.11.2000 22:24 </t>
  </si>
  <si>
    <t> 0.132 </t>
  </si>
  <si>
    <t>2452129.44370 </t>
  </si>
  <si>
    <t> 07.08.2001 22:38 </t>
  </si>
  <si>
    <t> 0.12890 </t>
  </si>
  <si>
    <t>C </t>
  </si>
  <si>
    <t>o</t>
  </si>
  <si>
    <t> K.Koss </t>
  </si>
  <si>
    <t>OEJV 0074 </t>
  </si>
  <si>
    <t>2452416.4064 </t>
  </si>
  <si>
    <t> 21.05.2002 21:45 </t>
  </si>
  <si>
    <t> 0.1333 </t>
  </si>
  <si>
    <t> F.Agerer </t>
  </si>
  <si>
    <t>BAVM 158 </t>
  </si>
  <si>
    <t>2455125.3967 </t>
  </si>
  <si>
    <t> 20.10.2009 21:31 </t>
  </si>
  <si>
    <t> 0.3833 </t>
  </si>
  <si>
    <t> U.Schmidt </t>
  </si>
  <si>
    <t>BAVM 212 </t>
  </si>
  <si>
    <t>I</t>
  </si>
  <si>
    <t>OEJV 0179</t>
  </si>
  <si>
    <t>V0940 Cyg / GSC 03942-00568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</si>
</sst>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8" fillId="0" borderId="0"/>
    <xf numFmtId="0" fontId="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0" fillId="0" borderId="10" xfId="0" applyBorder="1" applyAlignment="1">
      <alignment horizontal="left"/>
    </xf>
    <xf numFmtId="0" fontId="11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V0940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41402.5</c:v>
                </c:pt>
                <c:pt idx="2">
                  <c:v>41637</c:v>
                </c:pt>
                <c:pt idx="3">
                  <c:v>41745.5</c:v>
                </c:pt>
                <c:pt idx="4">
                  <c:v>41751.5</c:v>
                </c:pt>
                <c:pt idx="5">
                  <c:v>41752</c:v>
                </c:pt>
                <c:pt idx="6">
                  <c:v>42124.5</c:v>
                </c:pt>
                <c:pt idx="7">
                  <c:v>42680.5</c:v>
                </c:pt>
                <c:pt idx="8">
                  <c:v>42681</c:v>
                </c:pt>
                <c:pt idx="9">
                  <c:v>43490</c:v>
                </c:pt>
                <c:pt idx="10">
                  <c:v>44353</c:v>
                </c:pt>
                <c:pt idx="11">
                  <c:v>52500</c:v>
                </c:pt>
                <c:pt idx="12">
                  <c:v>57853</c:v>
                </c:pt>
                <c:pt idx="13">
                  <c:v>57853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07-41B5-8A53-E0EFA2BAE4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41402.5</c:v>
                </c:pt>
                <c:pt idx="2">
                  <c:v>41637</c:v>
                </c:pt>
                <c:pt idx="3">
                  <c:v>41745.5</c:v>
                </c:pt>
                <c:pt idx="4">
                  <c:v>41751.5</c:v>
                </c:pt>
                <c:pt idx="5">
                  <c:v>41752</c:v>
                </c:pt>
                <c:pt idx="6">
                  <c:v>42124.5</c:v>
                </c:pt>
                <c:pt idx="7">
                  <c:v>42680.5</c:v>
                </c:pt>
                <c:pt idx="8">
                  <c:v>42681</c:v>
                </c:pt>
                <c:pt idx="9">
                  <c:v>43490</c:v>
                </c:pt>
                <c:pt idx="10">
                  <c:v>44353</c:v>
                </c:pt>
                <c:pt idx="11">
                  <c:v>52500</c:v>
                </c:pt>
                <c:pt idx="12">
                  <c:v>57853</c:v>
                </c:pt>
                <c:pt idx="13">
                  <c:v>57853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-1.2486109408200718E-3</c:v>
                </c:pt>
                <c:pt idx="3">
                  <c:v>-3.0223812500480562E-3</c:v>
                </c:pt>
                <c:pt idx="4">
                  <c:v>-6.1066450434736907E-3</c:v>
                </c:pt>
                <c:pt idx="5">
                  <c:v>-2.2636670328211039E-3</c:v>
                </c:pt>
                <c:pt idx="6">
                  <c:v>2.1549556477111764E-3</c:v>
                </c:pt>
                <c:pt idx="7">
                  <c:v>-4.6534894281649031E-3</c:v>
                </c:pt>
                <c:pt idx="8">
                  <c:v>-7.9105114127742127E-3</c:v>
                </c:pt>
                <c:pt idx="11">
                  <c:v>-6.0821323859272525E-4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07-41B5-8A53-E0EFA2BAE4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41402.5</c:v>
                </c:pt>
                <c:pt idx="2">
                  <c:v>41637</c:v>
                </c:pt>
                <c:pt idx="3">
                  <c:v>41745.5</c:v>
                </c:pt>
                <c:pt idx="4">
                  <c:v>41751.5</c:v>
                </c:pt>
                <c:pt idx="5">
                  <c:v>41752</c:v>
                </c:pt>
                <c:pt idx="6">
                  <c:v>42124.5</c:v>
                </c:pt>
                <c:pt idx="7">
                  <c:v>42680.5</c:v>
                </c:pt>
                <c:pt idx="8">
                  <c:v>42681</c:v>
                </c:pt>
                <c:pt idx="9">
                  <c:v>43490</c:v>
                </c:pt>
                <c:pt idx="10">
                  <c:v>44353</c:v>
                </c:pt>
                <c:pt idx="11">
                  <c:v>52500</c:v>
                </c:pt>
                <c:pt idx="12">
                  <c:v>57853</c:v>
                </c:pt>
                <c:pt idx="13">
                  <c:v>57853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-9.0530092711560428E-4</c:v>
                </c:pt>
                <c:pt idx="10">
                  <c:v>1.0079774874611758E-3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07-41B5-8A53-E0EFA2BAE4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41402.5</c:v>
                </c:pt>
                <c:pt idx="2">
                  <c:v>41637</c:v>
                </c:pt>
                <c:pt idx="3">
                  <c:v>41745.5</c:v>
                </c:pt>
                <c:pt idx="4">
                  <c:v>41751.5</c:v>
                </c:pt>
                <c:pt idx="5">
                  <c:v>41752</c:v>
                </c:pt>
                <c:pt idx="6">
                  <c:v>42124.5</c:v>
                </c:pt>
                <c:pt idx="7">
                  <c:v>42680.5</c:v>
                </c:pt>
                <c:pt idx="8">
                  <c:v>42681</c:v>
                </c:pt>
                <c:pt idx="9">
                  <c:v>43490</c:v>
                </c:pt>
                <c:pt idx="10">
                  <c:v>44353</c:v>
                </c:pt>
                <c:pt idx="11">
                  <c:v>52500</c:v>
                </c:pt>
                <c:pt idx="12">
                  <c:v>57853</c:v>
                </c:pt>
                <c:pt idx="13">
                  <c:v>57853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9">
                  <c:v>-2.0720798784168437E-3</c:v>
                </c:pt>
                <c:pt idx="12">
                  <c:v>-3.3955630497075617E-3</c:v>
                </c:pt>
                <c:pt idx="13">
                  <c:v>-2.9955630525364541E-3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07-41B5-8A53-E0EFA2BAE4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41402.5</c:v>
                </c:pt>
                <c:pt idx="2">
                  <c:v>41637</c:v>
                </c:pt>
                <c:pt idx="3">
                  <c:v>41745.5</c:v>
                </c:pt>
                <c:pt idx="4">
                  <c:v>41751.5</c:v>
                </c:pt>
                <c:pt idx="5">
                  <c:v>41752</c:v>
                </c:pt>
                <c:pt idx="6">
                  <c:v>42124.5</c:v>
                </c:pt>
                <c:pt idx="7">
                  <c:v>42680.5</c:v>
                </c:pt>
                <c:pt idx="8">
                  <c:v>42681</c:v>
                </c:pt>
                <c:pt idx="9">
                  <c:v>43490</c:v>
                </c:pt>
                <c:pt idx="10">
                  <c:v>44353</c:v>
                </c:pt>
                <c:pt idx="11">
                  <c:v>52500</c:v>
                </c:pt>
                <c:pt idx="12">
                  <c:v>57853</c:v>
                </c:pt>
                <c:pt idx="13">
                  <c:v>57853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07-41B5-8A53-E0EFA2BAE4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41402.5</c:v>
                </c:pt>
                <c:pt idx="2">
                  <c:v>41637</c:v>
                </c:pt>
                <c:pt idx="3">
                  <c:v>41745.5</c:v>
                </c:pt>
                <c:pt idx="4">
                  <c:v>41751.5</c:v>
                </c:pt>
                <c:pt idx="5">
                  <c:v>41752</c:v>
                </c:pt>
                <c:pt idx="6">
                  <c:v>42124.5</c:v>
                </c:pt>
                <c:pt idx="7">
                  <c:v>42680.5</c:v>
                </c:pt>
                <c:pt idx="8">
                  <c:v>42681</c:v>
                </c:pt>
                <c:pt idx="9">
                  <c:v>43490</c:v>
                </c:pt>
                <c:pt idx="10">
                  <c:v>44353</c:v>
                </c:pt>
                <c:pt idx="11">
                  <c:v>52500</c:v>
                </c:pt>
                <c:pt idx="12">
                  <c:v>57853</c:v>
                </c:pt>
                <c:pt idx="13">
                  <c:v>57853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07-41B5-8A53-E0EFA2BAE4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41402.5</c:v>
                </c:pt>
                <c:pt idx="2">
                  <c:v>41637</c:v>
                </c:pt>
                <c:pt idx="3">
                  <c:v>41745.5</c:v>
                </c:pt>
                <c:pt idx="4">
                  <c:v>41751.5</c:v>
                </c:pt>
                <c:pt idx="5">
                  <c:v>41752</c:v>
                </c:pt>
                <c:pt idx="6">
                  <c:v>42124.5</c:v>
                </c:pt>
                <c:pt idx="7">
                  <c:v>42680.5</c:v>
                </c:pt>
                <c:pt idx="8">
                  <c:v>42681</c:v>
                </c:pt>
                <c:pt idx="9">
                  <c:v>43490</c:v>
                </c:pt>
                <c:pt idx="10">
                  <c:v>44353</c:v>
                </c:pt>
                <c:pt idx="11">
                  <c:v>52500</c:v>
                </c:pt>
                <c:pt idx="12">
                  <c:v>57853</c:v>
                </c:pt>
                <c:pt idx="13">
                  <c:v>57853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07-41B5-8A53-E0EFA2BAE4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41402.5</c:v>
                </c:pt>
                <c:pt idx="2">
                  <c:v>41637</c:v>
                </c:pt>
                <c:pt idx="3">
                  <c:v>41745.5</c:v>
                </c:pt>
                <c:pt idx="4">
                  <c:v>41751.5</c:v>
                </c:pt>
                <c:pt idx="5">
                  <c:v>41752</c:v>
                </c:pt>
                <c:pt idx="6">
                  <c:v>42124.5</c:v>
                </c:pt>
                <c:pt idx="7">
                  <c:v>42680.5</c:v>
                </c:pt>
                <c:pt idx="8">
                  <c:v>42681</c:v>
                </c:pt>
                <c:pt idx="9">
                  <c:v>43490</c:v>
                </c:pt>
                <c:pt idx="10">
                  <c:v>44353</c:v>
                </c:pt>
                <c:pt idx="11">
                  <c:v>52500</c:v>
                </c:pt>
                <c:pt idx="12">
                  <c:v>57853</c:v>
                </c:pt>
                <c:pt idx="13">
                  <c:v>57853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-4.417816110762324E-4</c:v>
                </c:pt>
                <c:pt idx="1">
                  <c:v>-2.2490744565497557E-3</c:v>
                </c:pt>
                <c:pt idx="2">
                  <c:v>-2.259310799095823E-3</c:v>
                </c:pt>
                <c:pt idx="3">
                  <c:v>-2.2640470172887788E-3</c:v>
                </c:pt>
                <c:pt idx="4">
                  <c:v>-2.2643089279722603E-3</c:v>
                </c:pt>
                <c:pt idx="5">
                  <c:v>-2.2643307538625507E-3</c:v>
                </c:pt>
                <c:pt idx="6">
                  <c:v>-2.2805910421286914E-3</c:v>
                </c:pt>
                <c:pt idx="7">
                  <c:v>-2.3048614321313065E-3</c:v>
                </c:pt>
                <c:pt idx="8">
                  <c:v>-2.3048832580215969E-3</c:v>
                </c:pt>
                <c:pt idx="9">
                  <c:v>-2.3401975485110135E-3</c:v>
                </c:pt>
                <c:pt idx="10">
                  <c:v>-2.3778690351517638E-3</c:v>
                </c:pt>
                <c:pt idx="11">
                  <c:v>-2.7335000915390054E-3</c:v>
                </c:pt>
                <c:pt idx="12">
                  <c:v>-2.9671680729850478E-3</c:v>
                </c:pt>
                <c:pt idx="13">
                  <c:v>-2.9671680729850478E-3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07-41B5-8A53-E0EFA2BAE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630872"/>
        <c:axId val="1"/>
      </c:scatterChart>
      <c:valAx>
        <c:axId val="766630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630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4734246668278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V940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41426.5</c:v>
                </c:pt>
                <c:pt idx="2">
                  <c:v>41661.5</c:v>
                </c:pt>
                <c:pt idx="3">
                  <c:v>41770</c:v>
                </c:pt>
                <c:pt idx="4">
                  <c:v>41776</c:v>
                </c:pt>
                <c:pt idx="5">
                  <c:v>41776.5</c:v>
                </c:pt>
                <c:pt idx="6">
                  <c:v>42149</c:v>
                </c:pt>
                <c:pt idx="7">
                  <c:v>42705.5</c:v>
                </c:pt>
                <c:pt idx="8">
                  <c:v>42706</c:v>
                </c:pt>
                <c:pt idx="9">
                  <c:v>43515.5</c:v>
                </c:pt>
                <c:pt idx="10">
                  <c:v>44379</c:v>
                </c:pt>
                <c:pt idx="11">
                  <c:v>52530.5</c:v>
                </c:pt>
                <c:pt idx="12">
                  <c:v>57887</c:v>
                </c:pt>
                <c:pt idx="13">
                  <c:v>57887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8A-4286-9295-01CDA039381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41426.5</c:v>
                </c:pt>
                <c:pt idx="2">
                  <c:v>41661.5</c:v>
                </c:pt>
                <c:pt idx="3">
                  <c:v>41770</c:v>
                </c:pt>
                <c:pt idx="4">
                  <c:v>41776</c:v>
                </c:pt>
                <c:pt idx="5">
                  <c:v>41776.5</c:v>
                </c:pt>
                <c:pt idx="6">
                  <c:v>42149</c:v>
                </c:pt>
                <c:pt idx="7">
                  <c:v>42705.5</c:v>
                </c:pt>
                <c:pt idx="8">
                  <c:v>42706</c:v>
                </c:pt>
                <c:pt idx="9">
                  <c:v>43515.5</c:v>
                </c:pt>
                <c:pt idx="10">
                  <c:v>44379</c:v>
                </c:pt>
                <c:pt idx="11">
                  <c:v>52530.5</c:v>
                </c:pt>
                <c:pt idx="12">
                  <c:v>57887</c:v>
                </c:pt>
                <c:pt idx="13">
                  <c:v>57887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2">
                  <c:v>-6.3679999999294523E-2</c:v>
                </c:pt>
                <c:pt idx="3">
                  <c:v>-4.439999999885913E-2</c:v>
                </c:pt>
                <c:pt idx="4">
                  <c:v>-4.6320000001287553E-2</c:v>
                </c:pt>
                <c:pt idx="6">
                  <c:v>3.4319999998842832E-2</c:v>
                </c:pt>
                <c:pt idx="7">
                  <c:v>-3.0760000001464505E-2</c:v>
                </c:pt>
                <c:pt idx="8">
                  <c:v>-3.3920000001671724E-2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8A-4286-9295-01CDA039381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41426.5</c:v>
                </c:pt>
                <c:pt idx="2">
                  <c:v>41661.5</c:v>
                </c:pt>
                <c:pt idx="3">
                  <c:v>41770</c:v>
                </c:pt>
                <c:pt idx="4">
                  <c:v>41776</c:v>
                </c:pt>
                <c:pt idx="5">
                  <c:v>41776.5</c:v>
                </c:pt>
                <c:pt idx="6">
                  <c:v>42149</c:v>
                </c:pt>
                <c:pt idx="7">
                  <c:v>42705.5</c:v>
                </c:pt>
                <c:pt idx="8">
                  <c:v>42706</c:v>
                </c:pt>
                <c:pt idx="9">
                  <c:v>43515.5</c:v>
                </c:pt>
                <c:pt idx="10">
                  <c:v>44379</c:v>
                </c:pt>
                <c:pt idx="11">
                  <c:v>52530.5</c:v>
                </c:pt>
                <c:pt idx="12">
                  <c:v>57887</c:v>
                </c:pt>
                <c:pt idx="13">
                  <c:v>57887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1">
                  <c:v>5.7319999992614612E-2</c:v>
                </c:pt>
                <c:pt idx="10">
                  <c:v>-3.2880000006116461E-2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8A-4286-9295-01CDA039381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41426.5</c:v>
                </c:pt>
                <c:pt idx="2">
                  <c:v>41661.5</c:v>
                </c:pt>
                <c:pt idx="3">
                  <c:v>41770</c:v>
                </c:pt>
                <c:pt idx="4">
                  <c:v>41776</c:v>
                </c:pt>
                <c:pt idx="5">
                  <c:v>41776.5</c:v>
                </c:pt>
                <c:pt idx="6">
                  <c:v>42149</c:v>
                </c:pt>
                <c:pt idx="7">
                  <c:v>42705.5</c:v>
                </c:pt>
                <c:pt idx="8">
                  <c:v>42706</c:v>
                </c:pt>
                <c:pt idx="9">
                  <c:v>43515.5</c:v>
                </c:pt>
                <c:pt idx="10">
                  <c:v>44379</c:v>
                </c:pt>
                <c:pt idx="11">
                  <c:v>52530.5</c:v>
                </c:pt>
                <c:pt idx="12">
                  <c:v>57887</c:v>
                </c:pt>
                <c:pt idx="13">
                  <c:v>57887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5">
                  <c:v>-4.2380000006232876E-2</c:v>
                </c:pt>
                <c:pt idx="9">
                  <c:v>-3.7259999997331761E-2</c:v>
                </c:pt>
                <c:pt idx="11">
                  <c:v>5.0939999993715901E-2</c:v>
                </c:pt>
                <c:pt idx="12">
                  <c:v>-7.6250000005529728E-2</c:v>
                </c:pt>
                <c:pt idx="13">
                  <c:v>-7.585000000835862E-2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8A-4286-9295-01CDA039381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41426.5</c:v>
                </c:pt>
                <c:pt idx="2">
                  <c:v>41661.5</c:v>
                </c:pt>
                <c:pt idx="3">
                  <c:v>41770</c:v>
                </c:pt>
                <c:pt idx="4">
                  <c:v>41776</c:v>
                </c:pt>
                <c:pt idx="5">
                  <c:v>41776.5</c:v>
                </c:pt>
                <c:pt idx="6">
                  <c:v>42149</c:v>
                </c:pt>
                <c:pt idx="7">
                  <c:v>42705.5</c:v>
                </c:pt>
                <c:pt idx="8">
                  <c:v>42706</c:v>
                </c:pt>
                <c:pt idx="9">
                  <c:v>43515.5</c:v>
                </c:pt>
                <c:pt idx="10">
                  <c:v>44379</c:v>
                </c:pt>
                <c:pt idx="11">
                  <c:v>52530.5</c:v>
                </c:pt>
                <c:pt idx="12">
                  <c:v>57887</c:v>
                </c:pt>
                <c:pt idx="13">
                  <c:v>57887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8A-4286-9295-01CDA039381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41426.5</c:v>
                </c:pt>
                <c:pt idx="2">
                  <c:v>41661.5</c:v>
                </c:pt>
                <c:pt idx="3">
                  <c:v>41770</c:v>
                </c:pt>
                <c:pt idx="4">
                  <c:v>41776</c:v>
                </c:pt>
                <c:pt idx="5">
                  <c:v>41776.5</c:v>
                </c:pt>
                <c:pt idx="6">
                  <c:v>42149</c:v>
                </c:pt>
                <c:pt idx="7">
                  <c:v>42705.5</c:v>
                </c:pt>
                <c:pt idx="8">
                  <c:v>42706</c:v>
                </c:pt>
                <c:pt idx="9">
                  <c:v>43515.5</c:v>
                </c:pt>
                <c:pt idx="10">
                  <c:v>44379</c:v>
                </c:pt>
                <c:pt idx="11">
                  <c:v>52530.5</c:v>
                </c:pt>
                <c:pt idx="12">
                  <c:v>57887</c:v>
                </c:pt>
                <c:pt idx="13">
                  <c:v>57887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8A-4286-9295-01CDA039381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41426.5</c:v>
                </c:pt>
                <c:pt idx="2">
                  <c:v>41661.5</c:v>
                </c:pt>
                <c:pt idx="3">
                  <c:v>41770</c:v>
                </c:pt>
                <c:pt idx="4">
                  <c:v>41776</c:v>
                </c:pt>
                <c:pt idx="5">
                  <c:v>41776.5</c:v>
                </c:pt>
                <c:pt idx="6">
                  <c:v>42149</c:v>
                </c:pt>
                <c:pt idx="7">
                  <c:v>42705.5</c:v>
                </c:pt>
                <c:pt idx="8">
                  <c:v>42706</c:v>
                </c:pt>
                <c:pt idx="9">
                  <c:v>43515.5</c:v>
                </c:pt>
                <c:pt idx="10">
                  <c:v>44379</c:v>
                </c:pt>
                <c:pt idx="11">
                  <c:v>52530.5</c:v>
                </c:pt>
                <c:pt idx="12">
                  <c:v>57887</c:v>
                </c:pt>
                <c:pt idx="13">
                  <c:v>57887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8A-4286-9295-01CDA039381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41426.5</c:v>
                </c:pt>
                <c:pt idx="2">
                  <c:v>41661.5</c:v>
                </c:pt>
                <c:pt idx="3">
                  <c:v>41770</c:v>
                </c:pt>
                <c:pt idx="4">
                  <c:v>41776</c:v>
                </c:pt>
                <c:pt idx="5">
                  <c:v>41776.5</c:v>
                </c:pt>
                <c:pt idx="6">
                  <c:v>42149</c:v>
                </c:pt>
                <c:pt idx="7">
                  <c:v>42705.5</c:v>
                </c:pt>
                <c:pt idx="8">
                  <c:v>42706</c:v>
                </c:pt>
                <c:pt idx="9">
                  <c:v>43515.5</c:v>
                </c:pt>
                <c:pt idx="10">
                  <c:v>44379</c:v>
                </c:pt>
                <c:pt idx="11">
                  <c:v>52530.5</c:v>
                </c:pt>
                <c:pt idx="12">
                  <c:v>57887</c:v>
                </c:pt>
                <c:pt idx="13">
                  <c:v>57887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5.5225738094278443E-2</c:v>
                </c:pt>
                <c:pt idx="1">
                  <c:v>-1.8862657452290155E-2</c:v>
                </c:pt>
                <c:pt idx="2">
                  <c:v>-1.9282938503149966E-2</c:v>
                </c:pt>
                <c:pt idx="3">
                  <c:v>-1.9476983158546929E-2</c:v>
                </c:pt>
                <c:pt idx="4">
                  <c:v>-1.948771373856889E-2</c:v>
                </c:pt>
                <c:pt idx="5">
                  <c:v>-1.9488607953570714E-2</c:v>
                </c:pt>
                <c:pt idx="6">
                  <c:v>-2.0154798129933593E-2</c:v>
                </c:pt>
                <c:pt idx="7">
                  <c:v>-2.1150059426969681E-2</c:v>
                </c:pt>
                <c:pt idx="8">
                  <c:v>-2.1150953641971518E-2</c:v>
                </c:pt>
                <c:pt idx="9">
                  <c:v>-2.2598687729933259E-2</c:v>
                </c:pt>
                <c:pt idx="10">
                  <c:v>-2.414299703809257E-2</c:v>
                </c:pt>
                <c:pt idx="11">
                  <c:v>-3.8721384212916751E-2</c:v>
                </c:pt>
                <c:pt idx="12">
                  <c:v>-4.8301109527514777E-2</c:v>
                </c:pt>
                <c:pt idx="13">
                  <c:v>-4.8301109527514777E-2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8A-4286-9295-01CDA0393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93688"/>
        <c:axId val="1"/>
      </c:scatterChart>
      <c:valAx>
        <c:axId val="886793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93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840081581078618"/>
          <c:y val="0.9204921861831491"/>
          <c:w val="0.88368403868740963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9325415E-5564-548C-D568-03E317352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1D53581-5F12-2071-38EC-A0A1500BA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158" TargetMode="External"/><Relationship Id="rId1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147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2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103</v>
      </c>
    </row>
    <row r="2" spans="1:6" x14ac:dyDescent="0.2">
      <c r="A2" t="s">
        <v>26</v>
      </c>
      <c r="B2" s="9" t="s">
        <v>30</v>
      </c>
    </row>
    <row r="4" spans="1:6" ht="14.25" thickTop="1" thickBot="1" x14ac:dyDescent="0.25">
      <c r="A4" s="6" t="s">
        <v>2</v>
      </c>
      <c r="C4" s="3">
        <v>37668.410000000003</v>
      </c>
      <c r="D4" s="4">
        <v>0.33232</v>
      </c>
    </row>
    <row r="5" spans="1:6" ht="13.5" thickTop="1" x14ac:dyDescent="0.2">
      <c r="A5" s="14" t="s">
        <v>34</v>
      </c>
      <c r="B5" s="9"/>
      <c r="C5" s="15">
        <v>-9.5</v>
      </c>
      <c r="D5" s="9" t="s">
        <v>35</v>
      </c>
    </row>
    <row r="6" spans="1:6" x14ac:dyDescent="0.2">
      <c r="A6" s="6" t="s">
        <v>3</v>
      </c>
    </row>
    <row r="7" spans="1:6" x14ac:dyDescent="0.2">
      <c r="A7" t="s">
        <v>4</v>
      </c>
      <c r="C7">
        <f>+C4</f>
        <v>37668.410000000003</v>
      </c>
    </row>
    <row r="8" spans="1:6" x14ac:dyDescent="0.2">
      <c r="A8" t="s">
        <v>5</v>
      </c>
      <c r="C8">
        <v>0.33251404396596634</v>
      </c>
      <c r="D8" s="53" t="s">
        <v>1</v>
      </c>
    </row>
    <row r="9" spans="1:6" x14ac:dyDescent="0.2">
      <c r="A9" s="29" t="s">
        <v>39</v>
      </c>
      <c r="B9" s="30">
        <v>21</v>
      </c>
      <c r="C9" s="18" t="str">
        <f>"F"&amp;B9</f>
        <v>F21</v>
      </c>
      <c r="D9" s="19" t="str">
        <f>"G"&amp;B9</f>
        <v>G21</v>
      </c>
    </row>
    <row r="10" spans="1:6" ht="13.5" thickBot="1" x14ac:dyDescent="0.25">
      <c r="A10" s="9"/>
      <c r="B10" s="9"/>
      <c r="C10" s="5" t="s">
        <v>22</v>
      </c>
      <c r="D10" s="5" t="s">
        <v>23</v>
      </c>
      <c r="E10" s="9"/>
    </row>
    <row r="11" spans="1:6" x14ac:dyDescent="0.2">
      <c r="A11" s="9" t="s">
        <v>18</v>
      </c>
      <c r="B11" s="9"/>
      <c r="C11" s="16">
        <f ca="1">INTERCEPT(INDIRECT($D$9):G992,INDIRECT($C$9):F992)</f>
        <v>-4.417816110762324E-4</v>
      </c>
      <c r="D11" s="17"/>
      <c r="E11" s="9"/>
    </row>
    <row r="12" spans="1:6" x14ac:dyDescent="0.2">
      <c r="A12" s="9" t="s">
        <v>19</v>
      </c>
      <c r="B12" s="9"/>
      <c r="C12" s="16">
        <f ca="1">SLOPE(INDIRECT($D$9):G992,INDIRECT($C$9):F992)</f>
        <v>-4.36517805802433E-8</v>
      </c>
      <c r="D12" s="17"/>
      <c r="E12" s="9"/>
    </row>
    <row r="13" spans="1:6" x14ac:dyDescent="0.2">
      <c r="A13" s="9" t="s">
        <v>21</v>
      </c>
      <c r="B13" s="9"/>
      <c r="C13" s="17" t="s">
        <v>16</v>
      </c>
    </row>
    <row r="14" spans="1:6" x14ac:dyDescent="0.2">
      <c r="A14" s="9"/>
      <c r="B14" s="9"/>
      <c r="C14" s="9"/>
    </row>
    <row r="15" spans="1:6" x14ac:dyDescent="0.2">
      <c r="A15" s="20" t="s">
        <v>20</v>
      </c>
      <c r="B15" s="9"/>
      <c r="C15" s="21">
        <f ca="1">(C7+C11)+(C8+C12)*INT(MAX(F21:F3533))</f>
        <v>56905.342018394978</v>
      </c>
      <c r="E15" s="17"/>
      <c r="F15" s="9"/>
    </row>
    <row r="16" spans="1:6" x14ac:dyDescent="0.2">
      <c r="A16" s="24" t="s">
        <v>6</v>
      </c>
      <c r="B16" s="9"/>
      <c r="C16" s="25">
        <f ca="1">+C8+C12</f>
        <v>0.33251400031418576</v>
      </c>
      <c r="E16" s="9"/>
      <c r="F16" s="9"/>
    </row>
    <row r="17" spans="1:18" ht="13.5" thickBot="1" x14ac:dyDescent="0.25">
      <c r="A17" s="22" t="s">
        <v>32</v>
      </c>
      <c r="B17" s="9"/>
      <c r="C17" s="9">
        <f>COUNT(C21:C2191)</f>
        <v>14</v>
      </c>
      <c r="E17" s="22" t="s">
        <v>36</v>
      </c>
      <c r="F17" s="23">
        <f ca="1">TODAY()+15018.5-B5/24</f>
        <v>60342.5</v>
      </c>
    </row>
    <row r="18" spans="1:18" ht="14.25" thickTop="1" thickBot="1" x14ac:dyDescent="0.25">
      <c r="A18" s="24" t="s">
        <v>7</v>
      </c>
      <c r="B18" s="9"/>
      <c r="C18" s="27">
        <f ca="1">+C15</f>
        <v>56905.342018394978</v>
      </c>
      <c r="D18" s="28">
        <f ca="1">+C16</f>
        <v>0.33251400031418576</v>
      </c>
      <c r="E18" s="22" t="s">
        <v>37</v>
      </c>
      <c r="F18" s="23">
        <f ca="1">ROUND(2*(F17-C15)/C16,0)/2+1</f>
        <v>10338</v>
      </c>
    </row>
    <row r="19" spans="1:18" ht="13.5" thickTop="1" x14ac:dyDescent="0.2">
      <c r="E19" s="22" t="s">
        <v>38</v>
      </c>
      <c r="F19" s="26">
        <f ca="1">+C15+C16*F18-15018.5-C5/24</f>
        <v>45324.76758697637</v>
      </c>
      <c r="Q19" t="s">
        <v>0</v>
      </c>
      <c r="R19">
        <f ca="1">SQRT(SUM(R21:R75)/COUNT(R21-R75))</f>
        <v>9.5504576841224671E-3</v>
      </c>
    </row>
    <row r="20" spans="1:18" ht="13.5" thickBot="1" x14ac:dyDescent="0.25">
      <c r="A20" s="5" t="s">
        <v>8</v>
      </c>
      <c r="B20" s="5" t="s">
        <v>9</v>
      </c>
      <c r="C20" s="5" t="s">
        <v>10</v>
      </c>
      <c r="D20" s="5" t="s">
        <v>15</v>
      </c>
      <c r="E20" s="5" t="s">
        <v>11</v>
      </c>
      <c r="F20" s="5" t="s">
        <v>12</v>
      </c>
      <c r="G20" s="52" t="s">
        <v>13</v>
      </c>
      <c r="H20" s="8" t="s">
        <v>49</v>
      </c>
      <c r="I20" s="8" t="s">
        <v>52</v>
      </c>
      <c r="J20" s="8" t="s">
        <v>46</v>
      </c>
      <c r="K20" s="8" t="s">
        <v>42</v>
      </c>
      <c r="L20" s="8" t="s">
        <v>27</v>
      </c>
      <c r="M20" s="8" t="s">
        <v>28</v>
      </c>
      <c r="N20" s="8" t="s">
        <v>29</v>
      </c>
      <c r="O20" s="8" t="s">
        <v>25</v>
      </c>
      <c r="P20" s="7" t="s">
        <v>24</v>
      </c>
      <c r="Q20" s="5" t="s">
        <v>17</v>
      </c>
    </row>
    <row r="21" spans="1:18" x14ac:dyDescent="0.2">
      <c r="A21" t="s">
        <v>14</v>
      </c>
      <c r="C21" s="12">
        <f>+C4</f>
        <v>37668.410000000003</v>
      </c>
      <c r="D21" s="12" t="s">
        <v>16</v>
      </c>
      <c r="E21">
        <f t="shared" ref="E21:E34" si="0">+(C21-C$7)/C$8</f>
        <v>0</v>
      </c>
      <c r="F21">
        <f t="shared" ref="F21:F34" si="1">ROUND(2*E21,0)/2</f>
        <v>0</v>
      </c>
      <c r="G21" s="12">
        <f t="shared" ref="G21:G34" si="2">+C21-(C$7+F21*C$8)</f>
        <v>0</v>
      </c>
      <c r="H21">
        <f>+G21</f>
        <v>0</v>
      </c>
      <c r="O21">
        <f t="shared" ref="O21:O34" ca="1" si="3">+C$11+C$12*$F21</f>
        <v>-4.417816110762324E-4</v>
      </c>
      <c r="Q21" s="2">
        <f t="shared" ref="Q21:Q34" si="4">+C21-15018.5</f>
        <v>22649.910000000003</v>
      </c>
      <c r="R21">
        <f ca="1">(O21-G21)^2</f>
        <v>1.9517099188511146E-7</v>
      </c>
    </row>
    <row r="22" spans="1:18" x14ac:dyDescent="0.2">
      <c r="A22" s="47" t="s">
        <v>59</v>
      </c>
      <c r="B22" s="48" t="s">
        <v>41</v>
      </c>
      <c r="C22" s="47">
        <v>51435.321799999998</v>
      </c>
      <c r="D22" s="47" t="s">
        <v>52</v>
      </c>
      <c r="E22">
        <f t="shared" si="0"/>
        <v>41402.49727740544</v>
      </c>
      <c r="F22">
        <f t="shared" si="1"/>
        <v>41402.5</v>
      </c>
      <c r="G22" s="12">
        <f t="shared" si="2"/>
        <v>-9.0530092711560428E-4</v>
      </c>
      <c r="J22">
        <f>+G22</f>
        <v>-9.0530092711560428E-4</v>
      </c>
      <c r="O22">
        <f t="shared" ca="1" si="3"/>
        <v>-2.2490744565497557E-3</v>
      </c>
      <c r="Q22" s="2">
        <f t="shared" si="4"/>
        <v>36416.821799999998</v>
      </c>
      <c r="R22">
        <f t="shared" ref="R22:R34" ca="1" si="5">(O22-G22)^2</f>
        <v>1.8057272984079161E-6</v>
      </c>
    </row>
    <row r="23" spans="1:18" x14ac:dyDescent="0.2">
      <c r="A23" s="47" t="s">
        <v>59</v>
      </c>
      <c r="B23" s="48" t="s">
        <v>101</v>
      </c>
      <c r="C23" s="47">
        <v>51513.296000000002</v>
      </c>
      <c r="D23" s="47" t="s">
        <v>52</v>
      </c>
      <c r="E23">
        <f t="shared" si="0"/>
        <v>41636.996244937727</v>
      </c>
      <c r="F23">
        <f t="shared" si="1"/>
        <v>41637</v>
      </c>
      <c r="G23" s="12">
        <f t="shared" si="2"/>
        <v>-1.2486109408200718E-3</v>
      </c>
      <c r="I23">
        <f>+G23</f>
        <v>-1.2486109408200718E-3</v>
      </c>
      <c r="O23">
        <f t="shared" ca="1" si="3"/>
        <v>-2.259310799095823E-3</v>
      </c>
      <c r="Q23" s="2">
        <f t="shared" si="4"/>
        <v>36494.796000000002</v>
      </c>
      <c r="R23">
        <f t="shared" ca="1" si="5"/>
        <v>1.0215142035186235E-6</v>
      </c>
    </row>
    <row r="24" spans="1:18" x14ac:dyDescent="0.2">
      <c r="A24" s="47" t="s">
        <v>66</v>
      </c>
      <c r="B24" s="48" t="s">
        <v>41</v>
      </c>
      <c r="C24" s="47">
        <v>51549.372000000003</v>
      </c>
      <c r="D24" s="47" t="s">
        <v>52</v>
      </c>
      <c r="E24">
        <f t="shared" si="0"/>
        <v>41745.490910515502</v>
      </c>
      <c r="F24">
        <f t="shared" si="1"/>
        <v>41745.5</v>
      </c>
      <c r="G24" s="12">
        <f t="shared" si="2"/>
        <v>-3.0223812500480562E-3</v>
      </c>
      <c r="I24">
        <f>+G24</f>
        <v>-3.0223812500480562E-3</v>
      </c>
      <c r="O24">
        <f t="shared" ca="1" si="3"/>
        <v>-2.2640470172887788E-3</v>
      </c>
      <c r="Q24" s="2">
        <f t="shared" si="4"/>
        <v>36530.872000000003</v>
      </c>
      <c r="R24">
        <f t="shared" ca="1" si="5"/>
        <v>5.7507080857460195E-7</v>
      </c>
    </row>
    <row r="25" spans="1:18" x14ac:dyDescent="0.2">
      <c r="A25" s="47" t="s">
        <v>66</v>
      </c>
      <c r="B25" s="48" t="s">
        <v>41</v>
      </c>
      <c r="C25" s="47">
        <v>51551.364000000001</v>
      </c>
      <c r="D25" s="47" t="s">
        <v>52</v>
      </c>
      <c r="E25">
        <f t="shared" si="0"/>
        <v>41751.481634925934</v>
      </c>
      <c r="F25">
        <f t="shared" si="1"/>
        <v>41751.5</v>
      </c>
      <c r="G25" s="12">
        <f t="shared" si="2"/>
        <v>-6.1066450434736907E-3</v>
      </c>
      <c r="I25">
        <f>+G25</f>
        <v>-6.1066450434736907E-3</v>
      </c>
      <c r="O25">
        <f t="shared" ca="1" si="3"/>
        <v>-2.2643089279722603E-3</v>
      </c>
      <c r="Q25" s="2">
        <f t="shared" si="4"/>
        <v>36532.864000000001</v>
      </c>
      <c r="R25">
        <f t="shared" ca="1" si="5"/>
        <v>1.4763546824486622E-5</v>
      </c>
    </row>
    <row r="26" spans="1:18" x14ac:dyDescent="0.2">
      <c r="A26" s="47" t="s">
        <v>66</v>
      </c>
      <c r="B26" s="48" t="s">
        <v>101</v>
      </c>
      <c r="C26" s="47">
        <v>51551.534099999997</v>
      </c>
      <c r="D26" s="47" t="s">
        <v>52</v>
      </c>
      <c r="E26">
        <f t="shared" si="0"/>
        <v>41751.993192266389</v>
      </c>
      <c r="F26">
        <f t="shared" si="1"/>
        <v>41752</v>
      </c>
      <c r="G26" s="12">
        <f t="shared" si="2"/>
        <v>-2.2636670328211039E-3</v>
      </c>
      <c r="I26">
        <f>+G26</f>
        <v>-2.2636670328211039E-3</v>
      </c>
      <c r="O26">
        <f t="shared" ca="1" si="3"/>
        <v>-2.2643307538625507E-3</v>
      </c>
      <c r="Q26" s="2">
        <f t="shared" si="4"/>
        <v>36533.034099999997</v>
      </c>
      <c r="R26">
        <f t="shared" ca="1" si="5"/>
        <v>4.4052562085914642E-13</v>
      </c>
    </row>
    <row r="27" spans="1:18" x14ac:dyDescent="0.2">
      <c r="A27" s="47" t="s">
        <v>76</v>
      </c>
      <c r="B27" s="48" t="s">
        <v>101</v>
      </c>
      <c r="C27" s="47">
        <v>51675.4</v>
      </c>
      <c r="D27" s="47" t="s">
        <v>52</v>
      </c>
      <c r="E27">
        <f t="shared" si="0"/>
        <v>42124.506480795884</v>
      </c>
      <c r="F27">
        <f t="shared" si="1"/>
        <v>42124.5</v>
      </c>
      <c r="G27" s="12">
        <f t="shared" si="2"/>
        <v>2.1549556477111764E-3</v>
      </c>
      <c r="I27">
        <f>+G27</f>
        <v>2.1549556477111764E-3</v>
      </c>
      <c r="O27">
        <f t="shared" ca="1" si="3"/>
        <v>-2.2805910421286914E-3</v>
      </c>
      <c r="Q27" s="2">
        <f t="shared" si="4"/>
        <v>36656.9</v>
      </c>
      <c r="R27">
        <f t="shared" ca="1" si="5"/>
        <v>1.967407443774941E-5</v>
      </c>
    </row>
    <row r="28" spans="1:18" x14ac:dyDescent="0.2">
      <c r="A28" s="47" t="s">
        <v>80</v>
      </c>
      <c r="B28" s="48" t="s">
        <v>101</v>
      </c>
      <c r="C28" s="47">
        <v>51860.271000000001</v>
      </c>
      <c r="D28" s="47" t="s">
        <v>52</v>
      </c>
      <c r="E28">
        <f t="shared" si="0"/>
        <v>42680.486005134175</v>
      </c>
      <c r="F28">
        <f t="shared" si="1"/>
        <v>42680.5</v>
      </c>
      <c r="G28" s="12">
        <f t="shared" si="2"/>
        <v>-4.6534894281649031E-3</v>
      </c>
      <c r="I28">
        <f>+G28</f>
        <v>-4.6534894281649031E-3</v>
      </c>
      <c r="O28">
        <f t="shared" ca="1" si="3"/>
        <v>-2.3048614321313065E-3</v>
      </c>
      <c r="Q28" s="2">
        <f t="shared" si="4"/>
        <v>36841.771000000001</v>
      </c>
      <c r="R28">
        <f t="shared" ca="1" si="5"/>
        <v>5.5160534637527877E-6</v>
      </c>
    </row>
    <row r="29" spans="1:18" x14ac:dyDescent="0.2">
      <c r="A29" s="47" t="s">
        <v>80</v>
      </c>
      <c r="B29" s="48" t="s">
        <v>41</v>
      </c>
      <c r="C29" s="47">
        <v>51860.434000000001</v>
      </c>
      <c r="D29" s="47" t="s">
        <v>52</v>
      </c>
      <c r="E29">
        <f t="shared" si="0"/>
        <v>42680.976209993067</v>
      </c>
      <c r="F29">
        <f t="shared" si="1"/>
        <v>42681</v>
      </c>
      <c r="G29" s="12">
        <f t="shared" si="2"/>
        <v>-7.9105114127742127E-3</v>
      </c>
      <c r="I29">
        <f>+G29</f>
        <v>-7.9105114127742127E-3</v>
      </c>
      <c r="O29">
        <f t="shared" ca="1" si="3"/>
        <v>-2.3048832580215969E-3</v>
      </c>
      <c r="Q29" s="2">
        <f t="shared" si="4"/>
        <v>36841.934000000001</v>
      </c>
      <c r="R29">
        <f t="shared" ca="1" si="5"/>
        <v>3.1423067009355218E-5</v>
      </c>
    </row>
    <row r="30" spans="1:18" x14ac:dyDescent="0.2">
      <c r="A30" s="31" t="s">
        <v>40</v>
      </c>
      <c r="B30" s="32" t="s">
        <v>41</v>
      </c>
      <c r="C30" s="33">
        <v>52129.443700000003</v>
      </c>
      <c r="D30" s="33" t="s">
        <v>42</v>
      </c>
      <c r="E30">
        <f t="shared" si="0"/>
        <v>43489.99376844403</v>
      </c>
      <c r="F30">
        <f t="shared" si="1"/>
        <v>43490</v>
      </c>
      <c r="G30" s="12">
        <f t="shared" si="2"/>
        <v>-2.0720798784168437E-3</v>
      </c>
      <c r="K30">
        <f>+G30</f>
        <v>-2.0720798784168437E-3</v>
      </c>
      <c r="O30">
        <f t="shared" ca="1" si="3"/>
        <v>-2.3401975485110135E-3</v>
      </c>
      <c r="Q30" s="2">
        <f t="shared" si="4"/>
        <v>37110.943700000003</v>
      </c>
      <c r="R30">
        <f t="shared" ca="1" si="5"/>
        <v>7.1887085016726086E-8</v>
      </c>
    </row>
    <row r="31" spans="1:18" x14ac:dyDescent="0.2">
      <c r="A31" s="11" t="s">
        <v>31</v>
      </c>
      <c r="B31" s="10"/>
      <c r="C31" s="13">
        <v>52416.4064</v>
      </c>
      <c r="D31" s="13">
        <v>2.9999999999999997E-4</v>
      </c>
      <c r="E31">
        <f t="shared" si="0"/>
        <v>44353.00303138321</v>
      </c>
      <c r="F31">
        <f t="shared" si="1"/>
        <v>44353</v>
      </c>
      <c r="G31" s="12">
        <f t="shared" si="2"/>
        <v>1.0079774874611758E-3</v>
      </c>
      <c r="J31">
        <f>+G31</f>
        <v>1.0079774874611758E-3</v>
      </c>
      <c r="O31">
        <f t="shared" ca="1" si="3"/>
        <v>-2.3778690351517638E-3</v>
      </c>
      <c r="Q31" s="2">
        <f t="shared" si="4"/>
        <v>37397.9064</v>
      </c>
      <c r="R31">
        <f t="shared" ca="1" si="5"/>
        <v>1.1463956674690135E-5</v>
      </c>
    </row>
    <row r="32" spans="1:18" x14ac:dyDescent="0.2">
      <c r="A32" s="47" t="s">
        <v>100</v>
      </c>
      <c r="B32" s="48" t="s">
        <v>41</v>
      </c>
      <c r="C32" s="47">
        <v>55125.396699999998</v>
      </c>
      <c r="D32" s="47" t="s">
        <v>52</v>
      </c>
      <c r="E32">
        <f t="shared" si="0"/>
        <v>52499.998170864506</v>
      </c>
      <c r="F32">
        <f t="shared" si="1"/>
        <v>52500</v>
      </c>
      <c r="G32" s="12">
        <f t="shared" si="2"/>
        <v>-6.0821323859272525E-4</v>
      </c>
      <c r="I32">
        <f>+G32</f>
        <v>-6.0821323859272525E-4</v>
      </c>
      <c r="O32">
        <f t="shared" ca="1" si="3"/>
        <v>-2.7335000915390054E-3</v>
      </c>
      <c r="Q32" s="2">
        <f t="shared" si="4"/>
        <v>40106.896699999998</v>
      </c>
      <c r="R32">
        <f t="shared" ca="1" si="5"/>
        <v>4.5168442073063037E-6</v>
      </c>
    </row>
    <row r="33" spans="1:18" x14ac:dyDescent="0.2">
      <c r="A33" s="49" t="s">
        <v>102</v>
      </c>
      <c r="B33" s="50" t="s">
        <v>101</v>
      </c>
      <c r="C33" s="51">
        <v>56905.341590000004</v>
      </c>
      <c r="D33" s="51">
        <v>2.0000000000000001E-4</v>
      </c>
      <c r="E33">
        <f t="shared" si="0"/>
        <v>57852.98978821162</v>
      </c>
      <c r="F33">
        <f t="shared" si="1"/>
        <v>57853</v>
      </c>
      <c r="G33" s="12">
        <f t="shared" si="2"/>
        <v>-3.3955630497075617E-3</v>
      </c>
      <c r="K33">
        <f>+G33</f>
        <v>-3.3955630497075617E-3</v>
      </c>
      <c r="O33">
        <f t="shared" ca="1" si="3"/>
        <v>-2.9671680729850478E-3</v>
      </c>
      <c r="Q33" s="2">
        <f t="shared" si="4"/>
        <v>41886.841590000004</v>
      </c>
      <c r="R33">
        <f t="shared" ca="1" si="5"/>
        <v>1.8352225608108328E-7</v>
      </c>
    </row>
    <row r="34" spans="1:18" x14ac:dyDescent="0.2">
      <c r="A34" s="49" t="s">
        <v>102</v>
      </c>
      <c r="B34" s="50" t="s">
        <v>101</v>
      </c>
      <c r="C34" s="51">
        <v>56905.341990000001</v>
      </c>
      <c r="D34" s="51">
        <v>2.9999999999999997E-4</v>
      </c>
      <c r="E34">
        <f t="shared" si="0"/>
        <v>57852.990991168321</v>
      </c>
      <c r="F34">
        <f t="shared" si="1"/>
        <v>57853</v>
      </c>
      <c r="G34" s="12">
        <f t="shared" si="2"/>
        <v>-2.9955630525364541E-3</v>
      </c>
      <c r="K34">
        <f>+G34</f>
        <v>-2.9955630525364541E-3</v>
      </c>
      <c r="O34">
        <f t="shared" ca="1" si="3"/>
        <v>-2.9671680729850478E-3</v>
      </c>
      <c r="Q34" s="2">
        <f t="shared" si="4"/>
        <v>41886.841990000001</v>
      </c>
      <c r="R34">
        <f t="shared" ca="1" si="5"/>
        <v>8.0627486372478167E-10</v>
      </c>
    </row>
    <row r="35" spans="1:18" x14ac:dyDescent="0.2">
      <c r="C35" s="12"/>
      <c r="D35" s="12"/>
    </row>
    <row r="36" spans="1:18" x14ac:dyDescent="0.2">
      <c r="C36" s="12"/>
      <c r="D36" s="12"/>
    </row>
    <row r="37" spans="1:18" x14ac:dyDescent="0.2">
      <c r="C37" s="12"/>
      <c r="D37" s="12"/>
    </row>
    <row r="38" spans="1:18" x14ac:dyDescent="0.2">
      <c r="C38" s="12"/>
      <c r="D38" s="12"/>
    </row>
    <row r="39" spans="1:18" x14ac:dyDescent="0.2">
      <c r="C39" s="12"/>
      <c r="D39" s="12"/>
    </row>
    <row r="40" spans="1:18" x14ac:dyDescent="0.2">
      <c r="C40" s="12"/>
      <c r="D40" s="12"/>
    </row>
    <row r="41" spans="1:18" x14ac:dyDescent="0.2">
      <c r="C41" s="12"/>
      <c r="D41" s="12"/>
    </row>
    <row r="42" spans="1:18" x14ac:dyDescent="0.2">
      <c r="C42" s="12"/>
      <c r="D42" s="12"/>
    </row>
    <row r="43" spans="1:18" x14ac:dyDescent="0.2">
      <c r="C43" s="12"/>
      <c r="D43" s="12"/>
    </row>
    <row r="44" spans="1:18" x14ac:dyDescent="0.2">
      <c r="C44" s="12"/>
      <c r="D44" s="12"/>
    </row>
    <row r="45" spans="1:18" x14ac:dyDescent="0.2">
      <c r="C45" s="12"/>
      <c r="D45" s="12"/>
    </row>
    <row r="46" spans="1:18" x14ac:dyDescent="0.2">
      <c r="C46" s="12"/>
      <c r="D46" s="12"/>
    </row>
    <row r="47" spans="1:18" x14ac:dyDescent="0.2">
      <c r="C47" s="12"/>
      <c r="D47" s="12"/>
    </row>
    <row r="48" spans="1:18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</sheetData>
  <phoneticPr fontId="7" type="noConversion"/>
  <hyperlinks>
    <hyperlink ref="H938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79"/>
  <sheetViews>
    <sheetView workbookViewId="0">
      <selection activeCell="Q19" sqref="Q1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2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26</v>
      </c>
      <c r="B2" s="9" t="s">
        <v>30</v>
      </c>
    </row>
    <row r="4" spans="1:6" ht="14.25" thickTop="1" thickBot="1" x14ac:dyDescent="0.25">
      <c r="A4" s="6" t="s">
        <v>2</v>
      </c>
      <c r="C4" s="3">
        <v>37668.410000000003</v>
      </c>
      <c r="D4" s="4">
        <v>0.33232</v>
      </c>
    </row>
    <row r="5" spans="1:6" ht="13.5" thickTop="1" x14ac:dyDescent="0.2">
      <c r="A5" s="14" t="s">
        <v>34</v>
      </c>
      <c r="B5" s="9"/>
      <c r="C5" s="15">
        <v>8</v>
      </c>
      <c r="D5" s="9" t="s">
        <v>35</v>
      </c>
    </row>
    <row r="6" spans="1:6" x14ac:dyDescent="0.2">
      <c r="A6" s="6" t="s">
        <v>3</v>
      </c>
    </row>
    <row r="7" spans="1:6" x14ac:dyDescent="0.2">
      <c r="A7" t="s">
        <v>4</v>
      </c>
      <c r="C7">
        <f>+C4</f>
        <v>37668.410000000003</v>
      </c>
    </row>
    <row r="8" spans="1:6" x14ac:dyDescent="0.2">
      <c r="A8" t="s">
        <v>5</v>
      </c>
      <c r="C8">
        <f>+D4</f>
        <v>0.33232</v>
      </c>
    </row>
    <row r="9" spans="1:6" x14ac:dyDescent="0.2">
      <c r="A9" s="29" t="s">
        <v>39</v>
      </c>
      <c r="B9" s="30">
        <v>22</v>
      </c>
      <c r="C9" s="18" t="str">
        <f>"F"&amp;B9</f>
        <v>F22</v>
      </c>
      <c r="D9" s="19" t="str">
        <f>"G"&amp;B9</f>
        <v>G22</v>
      </c>
    </row>
    <row r="10" spans="1:6" ht="13.5" thickBot="1" x14ac:dyDescent="0.25">
      <c r="A10" s="9"/>
      <c r="B10" s="9"/>
      <c r="C10" s="5" t="s">
        <v>22</v>
      </c>
      <c r="D10" s="5" t="s">
        <v>23</v>
      </c>
      <c r="E10" s="9"/>
    </row>
    <row r="11" spans="1:6" x14ac:dyDescent="0.2">
      <c r="A11" s="9" t="s">
        <v>18</v>
      </c>
      <c r="B11" s="9"/>
      <c r="C11" s="16">
        <f ca="1">INTERCEPT(INDIRECT($D$9):G992,INDIRECT($C$9):F992)</f>
        <v>5.5225738094278443E-2</v>
      </c>
      <c r="D11" s="17"/>
      <c r="E11" s="9"/>
    </row>
    <row r="12" spans="1:6" x14ac:dyDescent="0.2">
      <c r="A12" s="9" t="s">
        <v>19</v>
      </c>
      <c r="B12" s="9"/>
      <c r="C12" s="16">
        <f ca="1">SLOPE(INDIRECT($D$9):G992,INDIRECT($C$9):F992)</f>
        <v>-1.7884300036587354E-6</v>
      </c>
      <c r="D12" s="17"/>
      <c r="E12" s="9"/>
    </row>
    <row r="13" spans="1:6" x14ac:dyDescent="0.2">
      <c r="A13" s="9" t="s">
        <v>21</v>
      </c>
      <c r="B13" s="9"/>
      <c r="C13" s="17" t="s">
        <v>16</v>
      </c>
    </row>
    <row r="14" spans="1:6" x14ac:dyDescent="0.2">
      <c r="A14" s="9"/>
      <c r="B14" s="9"/>
      <c r="C14" s="9"/>
    </row>
    <row r="15" spans="1:6" x14ac:dyDescent="0.2">
      <c r="A15" s="20" t="s">
        <v>20</v>
      </c>
      <c r="B15" s="9"/>
      <c r="C15" s="21">
        <f ca="1">(C7+C11)+(C8+C12)*INT(MAX(F21:F3533))</f>
        <v>56905.369538890474</v>
      </c>
      <c r="E15" s="17"/>
      <c r="F15" s="9"/>
    </row>
    <row r="16" spans="1:6" x14ac:dyDescent="0.2">
      <c r="A16" s="24" t="s">
        <v>6</v>
      </c>
      <c r="B16" s="9"/>
      <c r="C16" s="25">
        <f ca="1">+C8+C12</f>
        <v>0.33231821156999636</v>
      </c>
      <c r="E16" s="9"/>
      <c r="F16" s="9"/>
    </row>
    <row r="17" spans="1:18" ht="13.5" thickBot="1" x14ac:dyDescent="0.25">
      <c r="A17" s="22" t="s">
        <v>32</v>
      </c>
      <c r="B17" s="9"/>
      <c r="C17" s="9">
        <f>COUNT(C21:C2191)</f>
        <v>14</v>
      </c>
      <c r="E17" s="22" t="s">
        <v>36</v>
      </c>
      <c r="F17" s="23">
        <f ca="1">TODAY()+15018.5-B5/24</f>
        <v>60342.5</v>
      </c>
    </row>
    <row r="18" spans="1:18" ht="14.25" thickTop="1" thickBot="1" x14ac:dyDescent="0.25">
      <c r="A18" s="24" t="s">
        <v>7</v>
      </c>
      <c r="B18" s="9"/>
      <c r="C18" s="27">
        <f ca="1">+C15</f>
        <v>56905.369538890474</v>
      </c>
      <c r="D18" s="28">
        <f ca="1">+C16</f>
        <v>0.33231821156999636</v>
      </c>
      <c r="E18" s="22" t="s">
        <v>37</v>
      </c>
      <c r="F18" s="23">
        <f ca="1">ROUND(2*(F17-C15)/C16,0)/2+1</f>
        <v>10344</v>
      </c>
    </row>
    <row r="19" spans="1:18" ht="13.5" thickTop="1" x14ac:dyDescent="0.2">
      <c r="E19" s="22" t="s">
        <v>38</v>
      </c>
      <c r="F19" s="26">
        <f ca="1">+C15+C16*F18-15018.5-C5/24</f>
        <v>45324.035786037181</v>
      </c>
      <c r="Q19" t="s">
        <v>0</v>
      </c>
      <c r="R19">
        <f ca="1">SQRT(SUM(R21:R75)/COUNT(R21-R75))</f>
        <v>0.16057198010013607</v>
      </c>
    </row>
    <row r="20" spans="1:18" ht="13.5" thickBot="1" x14ac:dyDescent="0.25">
      <c r="A20" s="5" t="s">
        <v>8</v>
      </c>
      <c r="B20" s="5" t="s">
        <v>9</v>
      </c>
      <c r="C20" s="5" t="s">
        <v>10</v>
      </c>
      <c r="D20" s="5" t="s">
        <v>15</v>
      </c>
      <c r="E20" s="5" t="s">
        <v>11</v>
      </c>
      <c r="F20" s="5" t="s">
        <v>12</v>
      </c>
      <c r="G20" s="52" t="s">
        <v>13</v>
      </c>
      <c r="H20" s="8" t="s">
        <v>49</v>
      </c>
      <c r="I20" s="8" t="s">
        <v>52</v>
      </c>
      <c r="J20" s="8" t="s">
        <v>46</v>
      </c>
      <c r="K20" s="8" t="s">
        <v>42</v>
      </c>
      <c r="L20" s="8" t="s">
        <v>27</v>
      </c>
      <c r="M20" s="8" t="s">
        <v>28</v>
      </c>
      <c r="N20" s="8" t="s">
        <v>29</v>
      </c>
      <c r="O20" s="8" t="s">
        <v>25</v>
      </c>
      <c r="P20" s="7" t="s">
        <v>24</v>
      </c>
      <c r="Q20" s="5" t="s">
        <v>17</v>
      </c>
    </row>
    <row r="21" spans="1:18" x14ac:dyDescent="0.2">
      <c r="A21" t="s">
        <v>14</v>
      </c>
      <c r="C21" s="12">
        <f>+C4</f>
        <v>37668.410000000003</v>
      </c>
      <c r="D21" s="12" t="s">
        <v>16</v>
      </c>
      <c r="E21">
        <f>+(C21-C$7)/C$8</f>
        <v>0</v>
      </c>
      <c r="F21">
        <f>ROUND(2*E21,0)/2</f>
        <v>0</v>
      </c>
      <c r="G21" s="12">
        <f>+C21-(C$7+F21*C$8)</f>
        <v>0</v>
      </c>
      <c r="H21">
        <f>+G21</f>
        <v>0</v>
      </c>
      <c r="O21">
        <f ca="1">+C$11+C$12*$F21</f>
        <v>5.5225738094278443E-2</v>
      </c>
      <c r="Q21" s="2">
        <f>+C21-15018.5</f>
        <v>22649.910000000003</v>
      </c>
      <c r="R21">
        <f ca="1">(O21-G21)^2</f>
        <v>3.0498821480578371E-3</v>
      </c>
    </row>
    <row r="22" spans="1:18" x14ac:dyDescent="0.2">
      <c r="A22" s="47" t="s">
        <v>59</v>
      </c>
      <c r="B22" s="48" t="s">
        <v>41</v>
      </c>
      <c r="C22" s="47">
        <v>51435.321799999998</v>
      </c>
      <c r="D22" s="47" t="s">
        <v>52</v>
      </c>
      <c r="E22">
        <f t="shared" ref="E22:E34" si="0">+(C22-C$7)/C$8</f>
        <v>41426.672484352413</v>
      </c>
      <c r="F22">
        <f t="shared" ref="F22:F34" si="1">ROUND(2*E22,0)/2</f>
        <v>41426.5</v>
      </c>
      <c r="G22" s="12">
        <f t="shared" ref="G22:G34" si="2">+C22-(C$7+F22*C$8)</f>
        <v>5.7319999992614612E-2</v>
      </c>
      <c r="J22">
        <f>+G22</f>
        <v>5.7319999992614612E-2</v>
      </c>
      <c r="O22">
        <f t="shared" ref="O22:O34" ca="1" si="3">+C$11+C$12*$F22</f>
        <v>-1.8862657452290155E-2</v>
      </c>
      <c r="Q22" s="2">
        <f t="shared" ref="Q22:Q34" si="4">+C22-15018.5</f>
        <v>36416.821799999998</v>
      </c>
      <c r="R22">
        <f t="shared" ref="R22:R34" ca="1" si="5">(O22-G22)^2</f>
        <v>5.8037972953677037E-3</v>
      </c>
    </row>
    <row r="23" spans="1:18" x14ac:dyDescent="0.2">
      <c r="A23" s="47" t="s">
        <v>59</v>
      </c>
      <c r="B23" s="48" t="s">
        <v>101</v>
      </c>
      <c r="C23" s="47">
        <v>51513.296000000002</v>
      </c>
      <c r="D23" s="47" t="s">
        <v>52</v>
      </c>
      <c r="E23">
        <f t="shared" si="0"/>
        <v>41661.308377467496</v>
      </c>
      <c r="F23">
        <f t="shared" si="1"/>
        <v>41661.5</v>
      </c>
      <c r="G23" s="12">
        <f t="shared" si="2"/>
        <v>-6.3679999999294523E-2</v>
      </c>
      <c r="I23">
        <f>+G23</f>
        <v>-6.3679999999294523E-2</v>
      </c>
      <c r="O23">
        <f t="shared" ca="1" si="3"/>
        <v>-1.9282938503149966E-2</v>
      </c>
      <c r="Q23" s="2">
        <f t="shared" si="4"/>
        <v>36494.796000000002</v>
      </c>
      <c r="R23">
        <f t="shared" ca="1" si="5"/>
        <v>1.9710990694924418E-3</v>
      </c>
    </row>
    <row r="24" spans="1:18" x14ac:dyDescent="0.2">
      <c r="A24" s="47" t="s">
        <v>66</v>
      </c>
      <c r="B24" s="48" t="s">
        <v>41</v>
      </c>
      <c r="C24" s="47">
        <v>51549.372000000003</v>
      </c>
      <c r="D24" s="47" t="s">
        <v>52</v>
      </c>
      <c r="E24">
        <f t="shared" si="0"/>
        <v>41769.866393837263</v>
      </c>
      <c r="F24">
        <f t="shared" si="1"/>
        <v>41770</v>
      </c>
      <c r="G24" s="12">
        <f t="shared" si="2"/>
        <v>-4.439999999885913E-2</v>
      </c>
      <c r="I24">
        <f>+G24</f>
        <v>-4.439999999885913E-2</v>
      </c>
      <c r="O24">
        <f t="shared" ca="1" si="3"/>
        <v>-1.9476983158546929E-2</v>
      </c>
      <c r="Q24" s="2">
        <f t="shared" si="4"/>
        <v>36530.872000000003</v>
      </c>
      <c r="R24">
        <f t="shared" ca="1" si="5"/>
        <v>6.2115676842248557E-4</v>
      </c>
    </row>
    <row r="25" spans="1:18" x14ac:dyDescent="0.2">
      <c r="A25" s="47" t="s">
        <v>66</v>
      </c>
      <c r="B25" s="48" t="s">
        <v>41</v>
      </c>
      <c r="C25" s="47">
        <v>51551.364000000001</v>
      </c>
      <c r="D25" s="47" t="s">
        <v>52</v>
      </c>
      <c r="E25">
        <f t="shared" si="0"/>
        <v>41775.860616273465</v>
      </c>
      <c r="F25">
        <f t="shared" si="1"/>
        <v>41776</v>
      </c>
      <c r="G25" s="12">
        <f t="shared" si="2"/>
        <v>-4.6320000001287553E-2</v>
      </c>
      <c r="I25">
        <f>+G25</f>
        <v>-4.6320000001287553E-2</v>
      </c>
      <c r="O25">
        <f t="shared" ca="1" si="3"/>
        <v>-1.948771373856889E-2</v>
      </c>
      <c r="Q25" s="2">
        <f t="shared" si="4"/>
        <v>36532.864000000001</v>
      </c>
      <c r="R25">
        <f t="shared" ca="1" si="5"/>
        <v>7.1997158608448067E-4</v>
      </c>
    </row>
    <row r="26" spans="1:18" x14ac:dyDescent="0.2">
      <c r="A26" s="47" t="s">
        <v>66</v>
      </c>
      <c r="B26" s="48" t="s">
        <v>101</v>
      </c>
      <c r="C26" s="47">
        <v>51551.534099999997</v>
      </c>
      <c r="D26" s="47" t="s">
        <v>52</v>
      </c>
      <c r="E26">
        <f t="shared" si="0"/>
        <v>41776.372472315823</v>
      </c>
      <c r="F26">
        <f t="shared" si="1"/>
        <v>41776.5</v>
      </c>
      <c r="G26" s="12">
        <f t="shared" si="2"/>
        <v>-4.2380000006232876E-2</v>
      </c>
      <c r="K26">
        <f>+G26</f>
        <v>-4.2380000006232876E-2</v>
      </c>
      <c r="O26">
        <f t="shared" ca="1" si="3"/>
        <v>-1.9488607953570714E-2</v>
      </c>
      <c r="Q26" s="2">
        <f t="shared" si="4"/>
        <v>36533.034099999997</v>
      </c>
      <c r="R26">
        <f t="shared" ca="1" si="5"/>
        <v>5.2401583010868444E-4</v>
      </c>
    </row>
    <row r="27" spans="1:18" x14ac:dyDescent="0.2">
      <c r="A27" s="47" t="s">
        <v>76</v>
      </c>
      <c r="B27" s="48" t="s">
        <v>101</v>
      </c>
      <c r="C27" s="47">
        <v>51675.4</v>
      </c>
      <c r="D27" s="47" t="s">
        <v>52</v>
      </c>
      <c r="E27">
        <f t="shared" si="0"/>
        <v>42149.103273952809</v>
      </c>
      <c r="F27">
        <f t="shared" si="1"/>
        <v>42149</v>
      </c>
      <c r="G27" s="12">
        <f t="shared" si="2"/>
        <v>3.4319999998842832E-2</v>
      </c>
      <c r="I27">
        <f>+G27</f>
        <v>3.4319999998842832E-2</v>
      </c>
      <c r="O27">
        <f t="shared" ca="1" si="3"/>
        <v>-2.0154798129933593E-2</v>
      </c>
      <c r="Q27" s="2">
        <f t="shared" si="4"/>
        <v>36656.9</v>
      </c>
      <c r="R27">
        <f t="shared" ca="1" si="5"/>
        <v>2.9675036311709434E-3</v>
      </c>
    </row>
    <row r="28" spans="1:18" x14ac:dyDescent="0.2">
      <c r="A28" s="47" t="s">
        <v>80</v>
      </c>
      <c r="B28" s="48" t="s">
        <v>101</v>
      </c>
      <c r="C28" s="47">
        <v>51860.271000000001</v>
      </c>
      <c r="D28" s="47" t="s">
        <v>52</v>
      </c>
      <c r="E28">
        <f t="shared" si="0"/>
        <v>42705.407438613373</v>
      </c>
      <c r="F28">
        <f t="shared" si="1"/>
        <v>42705.5</v>
      </c>
      <c r="G28" s="12">
        <f t="shared" si="2"/>
        <v>-3.0760000001464505E-2</v>
      </c>
      <c r="I28">
        <f>+G28</f>
        <v>-3.0760000001464505E-2</v>
      </c>
      <c r="O28">
        <f t="shared" ca="1" si="3"/>
        <v>-2.1150059426969681E-2</v>
      </c>
      <c r="Q28" s="2">
        <f t="shared" si="4"/>
        <v>36841.771000000001</v>
      </c>
      <c r="R28">
        <f t="shared" ca="1" si="5"/>
        <v>9.2350957845321906E-5</v>
      </c>
    </row>
    <row r="29" spans="1:18" x14ac:dyDescent="0.2">
      <c r="A29" s="47" t="s">
        <v>80</v>
      </c>
      <c r="B29" s="48" t="s">
        <v>41</v>
      </c>
      <c r="C29" s="47">
        <v>51860.434000000001</v>
      </c>
      <c r="D29" s="47" t="s">
        <v>52</v>
      </c>
      <c r="E29">
        <f t="shared" si="0"/>
        <v>42705.897929706298</v>
      </c>
      <c r="F29">
        <f t="shared" si="1"/>
        <v>42706</v>
      </c>
      <c r="G29" s="12">
        <f t="shared" si="2"/>
        <v>-3.3920000001671724E-2</v>
      </c>
      <c r="I29">
        <f>+G29</f>
        <v>-3.3920000001671724E-2</v>
      </c>
      <c r="O29">
        <f t="shared" ca="1" si="3"/>
        <v>-2.1150953641971518E-2</v>
      </c>
      <c r="Q29" s="2">
        <f t="shared" si="4"/>
        <v>36841.934000000001</v>
      </c>
      <c r="R29">
        <f t="shared" ca="1" si="5"/>
        <v>1.6304854493617309E-4</v>
      </c>
    </row>
    <row r="30" spans="1:18" x14ac:dyDescent="0.2">
      <c r="A30" s="31" t="s">
        <v>40</v>
      </c>
      <c r="B30" s="32" t="s">
        <v>41</v>
      </c>
      <c r="C30" s="33">
        <v>52129.443700000003</v>
      </c>
      <c r="D30" s="33" t="s">
        <v>42</v>
      </c>
      <c r="E30">
        <f t="shared" si="0"/>
        <v>43515.387879152622</v>
      </c>
      <c r="F30">
        <f t="shared" si="1"/>
        <v>43515.5</v>
      </c>
      <c r="G30" s="12">
        <f t="shared" si="2"/>
        <v>-3.7259999997331761E-2</v>
      </c>
      <c r="K30">
        <f>+G30</f>
        <v>-3.7259999997331761E-2</v>
      </c>
      <c r="O30">
        <f t="shared" ca="1" si="3"/>
        <v>-2.2598687729933259E-2</v>
      </c>
      <c r="Q30" s="2">
        <f t="shared" si="4"/>
        <v>37110.943700000003</v>
      </c>
      <c r="R30">
        <f t="shared" ca="1" si="5"/>
        <v>2.149540774021698E-4</v>
      </c>
    </row>
    <row r="31" spans="1:18" x14ac:dyDescent="0.2">
      <c r="A31" s="11" t="s">
        <v>31</v>
      </c>
      <c r="B31" s="10"/>
      <c r="C31" s="13">
        <v>52416.4064</v>
      </c>
      <c r="D31" s="13">
        <v>2.9999999999999997E-4</v>
      </c>
      <c r="E31">
        <f t="shared" si="0"/>
        <v>44378.901059220014</v>
      </c>
      <c r="F31">
        <f t="shared" si="1"/>
        <v>44379</v>
      </c>
      <c r="G31" s="12">
        <f t="shared" si="2"/>
        <v>-3.2880000006116461E-2</v>
      </c>
      <c r="J31">
        <f>+G31</f>
        <v>-3.2880000006116461E-2</v>
      </c>
      <c r="O31">
        <f t="shared" ca="1" si="3"/>
        <v>-2.414299703809257E-2</v>
      </c>
      <c r="Q31" s="2">
        <f t="shared" si="4"/>
        <v>37397.9064</v>
      </c>
      <c r="R31">
        <f t="shared" ca="1" si="5"/>
        <v>7.6335220863258272E-5</v>
      </c>
    </row>
    <row r="32" spans="1:18" x14ac:dyDescent="0.2">
      <c r="A32" s="47" t="s">
        <v>100</v>
      </c>
      <c r="B32" s="48" t="s">
        <v>41</v>
      </c>
      <c r="C32" s="47">
        <v>55125.396699999998</v>
      </c>
      <c r="D32" s="47" t="s">
        <v>52</v>
      </c>
      <c r="E32">
        <f t="shared" si="0"/>
        <v>52530.653285989392</v>
      </c>
      <c r="F32">
        <f t="shared" si="1"/>
        <v>52530.5</v>
      </c>
      <c r="G32" s="12">
        <f t="shared" si="2"/>
        <v>5.0939999993715901E-2</v>
      </c>
      <c r="K32">
        <f>+G32</f>
        <v>5.0939999993715901E-2</v>
      </c>
      <c r="O32">
        <f t="shared" ca="1" si="3"/>
        <v>-3.8721384212916751E-2</v>
      </c>
      <c r="Q32" s="2">
        <f t="shared" si="4"/>
        <v>40106.896699999998</v>
      </c>
      <c r="R32">
        <f t="shared" ca="1" si="5"/>
        <v>8.0391638178493961E-3</v>
      </c>
    </row>
    <row r="33" spans="1:18" x14ac:dyDescent="0.2">
      <c r="A33" s="49" t="s">
        <v>102</v>
      </c>
      <c r="B33" s="50" t="s">
        <v>101</v>
      </c>
      <c r="C33" s="51">
        <v>56905.341590000004</v>
      </c>
      <c r="D33" s="51">
        <v>2.0000000000000001E-4</v>
      </c>
      <c r="E33">
        <f t="shared" si="0"/>
        <v>57886.770552479538</v>
      </c>
      <c r="F33">
        <f t="shared" si="1"/>
        <v>57887</v>
      </c>
      <c r="G33" s="12">
        <f t="shared" si="2"/>
        <v>-7.6250000005529728E-2</v>
      </c>
      <c r="K33">
        <f>+G33</f>
        <v>-7.6250000005529728E-2</v>
      </c>
      <c r="O33">
        <f t="shared" ca="1" si="3"/>
        <v>-4.8301109527514777E-2</v>
      </c>
      <c r="Q33" s="2">
        <f t="shared" si="4"/>
        <v>41886.841590000004</v>
      </c>
      <c r="R33">
        <f t="shared" ca="1" si="5"/>
        <v>7.8114047895207477E-4</v>
      </c>
    </row>
    <row r="34" spans="1:18" x14ac:dyDescent="0.2">
      <c r="A34" s="49" t="s">
        <v>102</v>
      </c>
      <c r="B34" s="50" t="s">
        <v>101</v>
      </c>
      <c r="C34" s="51">
        <v>56905.341990000001</v>
      </c>
      <c r="D34" s="51">
        <v>2.9999999999999997E-4</v>
      </c>
      <c r="E34">
        <f t="shared" si="0"/>
        <v>57886.771756138653</v>
      </c>
      <c r="F34">
        <f t="shared" si="1"/>
        <v>57887</v>
      </c>
      <c r="G34" s="12">
        <f t="shared" si="2"/>
        <v>-7.585000000835862E-2</v>
      </c>
      <c r="K34">
        <f>+G34</f>
        <v>-7.585000000835862E-2</v>
      </c>
      <c r="O34">
        <f t="shared" ca="1" si="3"/>
        <v>-4.8301109527514777E-2</v>
      </c>
      <c r="Q34" s="2">
        <f t="shared" si="4"/>
        <v>41886.841990000001</v>
      </c>
      <c r="R34">
        <f t="shared" ca="1" si="5"/>
        <v>7.5894136672552848E-4</v>
      </c>
    </row>
    <row r="35" spans="1:18" x14ac:dyDescent="0.2">
      <c r="C35" s="12"/>
      <c r="D35" s="12"/>
    </row>
    <row r="36" spans="1:18" x14ac:dyDescent="0.2">
      <c r="C36" s="12"/>
      <c r="D36" s="12"/>
    </row>
    <row r="37" spans="1:18" x14ac:dyDescent="0.2">
      <c r="C37" s="12"/>
      <c r="D37" s="12"/>
    </row>
    <row r="38" spans="1:18" x14ac:dyDescent="0.2">
      <c r="C38" s="12"/>
      <c r="D38" s="12"/>
    </row>
    <row r="39" spans="1:18" x14ac:dyDescent="0.2">
      <c r="C39" s="12"/>
      <c r="D39" s="12"/>
    </row>
    <row r="40" spans="1:18" x14ac:dyDescent="0.2">
      <c r="C40" s="12"/>
      <c r="D40" s="12"/>
    </row>
    <row r="41" spans="1:18" x14ac:dyDescent="0.2">
      <c r="C41" s="12"/>
      <c r="D41" s="12"/>
    </row>
    <row r="42" spans="1:18" x14ac:dyDescent="0.2">
      <c r="C42" s="12"/>
      <c r="D42" s="12"/>
    </row>
    <row r="43" spans="1:18" x14ac:dyDescent="0.2">
      <c r="C43" s="12"/>
      <c r="D43" s="12"/>
    </row>
    <row r="44" spans="1:18" x14ac:dyDescent="0.2">
      <c r="C44" s="12"/>
      <c r="D44" s="12"/>
    </row>
    <row r="45" spans="1:18" x14ac:dyDescent="0.2">
      <c r="C45" s="12"/>
      <c r="D45" s="12"/>
    </row>
    <row r="46" spans="1:18" x14ac:dyDescent="0.2">
      <c r="C46" s="12"/>
      <c r="D46" s="12"/>
    </row>
    <row r="47" spans="1:18" x14ac:dyDescent="0.2">
      <c r="C47" s="12"/>
      <c r="D47" s="12"/>
    </row>
    <row r="48" spans="1:18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</sheetData>
  <sheetProtection sheet="1"/>
  <phoneticPr fontId="7" type="noConversion"/>
  <hyperlinks>
    <hyperlink ref="H938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3"/>
  <sheetViews>
    <sheetView workbookViewId="0">
      <selection activeCell="A13" sqref="A13:D21"/>
    </sheetView>
  </sheetViews>
  <sheetFormatPr defaultRowHeight="12.75" x14ac:dyDescent="0.2"/>
  <cols>
    <col min="1" max="1" width="19.7109375" style="12" customWidth="1"/>
    <col min="2" max="2" width="4.42578125" style="9" customWidth="1"/>
    <col min="3" max="3" width="12.7109375" style="12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2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4" t="s">
        <v>43</v>
      </c>
      <c r="I1" s="35" t="s">
        <v>44</v>
      </c>
      <c r="J1" s="36" t="s">
        <v>42</v>
      </c>
    </row>
    <row r="2" spans="1:16" x14ac:dyDescent="0.2">
      <c r="I2" s="37" t="s">
        <v>45</v>
      </c>
      <c r="J2" s="38" t="s">
        <v>46</v>
      </c>
    </row>
    <row r="3" spans="1:16" x14ac:dyDescent="0.2">
      <c r="A3" s="39" t="s">
        <v>47</v>
      </c>
      <c r="I3" s="37" t="s">
        <v>48</v>
      </c>
      <c r="J3" s="38" t="s">
        <v>49</v>
      </c>
    </row>
    <row r="4" spans="1:16" x14ac:dyDescent="0.2">
      <c r="I4" s="37" t="s">
        <v>50</v>
      </c>
      <c r="J4" s="38" t="s">
        <v>49</v>
      </c>
    </row>
    <row r="5" spans="1:16" ht="13.5" thickBot="1" x14ac:dyDescent="0.25">
      <c r="I5" s="40" t="s">
        <v>51</v>
      </c>
      <c r="J5" s="41" t="s">
        <v>52</v>
      </c>
    </row>
    <row r="10" spans="1:16" ht="13.5" thickBot="1" x14ac:dyDescent="0.25"/>
    <row r="11" spans="1:16" ht="12.75" customHeight="1" thickBot="1" x14ac:dyDescent="0.25">
      <c r="A11" s="12" t="str">
        <f t="shared" ref="A11:A21" si="0">P11</f>
        <v>OEJV 0074 </v>
      </c>
      <c r="B11" s="17" t="str">
        <f t="shared" ref="B11:B21" si="1">IF(H11=INT(H11),"I","II")</f>
        <v>I</v>
      </c>
      <c r="C11" s="12">
        <f t="shared" ref="C11:C21" si="2">1*G11</f>
        <v>52129.443700000003</v>
      </c>
      <c r="D11" s="9" t="str">
        <f t="shared" ref="D11:D21" si="3">VLOOKUP(F11,I$1:J$5,2,FALSE)</f>
        <v>vis</v>
      </c>
      <c r="E11" s="42">
        <f>VLOOKUP(C11,'A (old)'!C$21:E$973,3,FALSE)</f>
        <v>43515.387879152622</v>
      </c>
      <c r="F11" s="17" t="s">
        <v>51</v>
      </c>
      <c r="G11" s="9" t="str">
        <f t="shared" ref="G11:G21" si="4">MID(I11,3,LEN(I11)-3)</f>
        <v>52129.44370</v>
      </c>
      <c r="H11" s="12">
        <f t="shared" ref="H11:H21" si="5">1*K11</f>
        <v>43515</v>
      </c>
      <c r="I11" s="43" t="s">
        <v>84</v>
      </c>
      <c r="J11" s="44" t="s">
        <v>85</v>
      </c>
      <c r="K11" s="43">
        <v>43515</v>
      </c>
      <c r="L11" s="43" t="s">
        <v>86</v>
      </c>
      <c r="M11" s="44" t="s">
        <v>87</v>
      </c>
      <c r="N11" s="44" t="s">
        <v>88</v>
      </c>
      <c r="O11" s="45" t="s">
        <v>89</v>
      </c>
      <c r="P11" s="46" t="s">
        <v>90</v>
      </c>
    </row>
    <row r="12" spans="1:16" ht="12.75" customHeight="1" thickBot="1" x14ac:dyDescent="0.25">
      <c r="A12" s="12" t="str">
        <f t="shared" si="0"/>
        <v>BAVM 158 </v>
      </c>
      <c r="B12" s="17" t="str">
        <f t="shared" si="1"/>
        <v>II</v>
      </c>
      <c r="C12" s="12">
        <f t="shared" si="2"/>
        <v>52416.4064</v>
      </c>
      <c r="D12" s="9" t="str">
        <f t="shared" si="3"/>
        <v>vis</v>
      </c>
      <c r="E12" s="42">
        <f>VLOOKUP(C12,'A (old)'!C$21:E$973,3,FALSE)</f>
        <v>44378.901059220014</v>
      </c>
      <c r="F12" s="17" t="s">
        <v>51</v>
      </c>
      <c r="G12" s="9" t="str">
        <f t="shared" si="4"/>
        <v>52416.4064</v>
      </c>
      <c r="H12" s="12">
        <f t="shared" si="5"/>
        <v>44378.5</v>
      </c>
      <c r="I12" s="43" t="s">
        <v>91</v>
      </c>
      <c r="J12" s="44" t="s">
        <v>92</v>
      </c>
      <c r="K12" s="43">
        <v>44378.5</v>
      </c>
      <c r="L12" s="43" t="s">
        <v>93</v>
      </c>
      <c r="M12" s="44" t="s">
        <v>56</v>
      </c>
      <c r="N12" s="44" t="s">
        <v>88</v>
      </c>
      <c r="O12" s="45" t="s">
        <v>94</v>
      </c>
      <c r="P12" s="46" t="s">
        <v>95</v>
      </c>
    </row>
    <row r="13" spans="1:16" ht="12.75" customHeight="1" thickBot="1" x14ac:dyDescent="0.25">
      <c r="A13" s="12" t="str">
        <f t="shared" si="0"/>
        <v> BBS 121 </v>
      </c>
      <c r="B13" s="17" t="str">
        <f t="shared" si="1"/>
        <v>II</v>
      </c>
      <c r="C13" s="12">
        <f t="shared" si="2"/>
        <v>51435.321799999998</v>
      </c>
      <c r="D13" s="9" t="str">
        <f t="shared" si="3"/>
        <v>vis</v>
      </c>
      <c r="E13" s="42">
        <f>VLOOKUP(C13,'A (old)'!C$21:E$973,3,FALSE)</f>
        <v>41426.672484352413</v>
      </c>
      <c r="F13" s="17" t="s">
        <v>51</v>
      </c>
      <c r="G13" s="9" t="str">
        <f t="shared" si="4"/>
        <v>51435.3218</v>
      </c>
      <c r="H13" s="12">
        <f t="shared" si="5"/>
        <v>41426.5</v>
      </c>
      <c r="I13" s="43" t="s">
        <v>53</v>
      </c>
      <c r="J13" s="44" t="s">
        <v>54</v>
      </c>
      <c r="K13" s="43">
        <v>41426.5</v>
      </c>
      <c r="L13" s="43" t="s">
        <v>55</v>
      </c>
      <c r="M13" s="44" t="s">
        <v>56</v>
      </c>
      <c r="N13" s="44" t="s">
        <v>57</v>
      </c>
      <c r="O13" s="45" t="s">
        <v>58</v>
      </c>
      <c r="P13" s="45" t="s">
        <v>59</v>
      </c>
    </row>
    <row r="14" spans="1:16" ht="12.75" customHeight="1" thickBot="1" x14ac:dyDescent="0.25">
      <c r="A14" s="12" t="str">
        <f t="shared" si="0"/>
        <v> BBS 121 </v>
      </c>
      <c r="B14" s="17" t="str">
        <f t="shared" si="1"/>
        <v>I</v>
      </c>
      <c r="C14" s="12">
        <f t="shared" si="2"/>
        <v>51513.296000000002</v>
      </c>
      <c r="D14" s="9" t="str">
        <f t="shared" si="3"/>
        <v>vis</v>
      </c>
      <c r="E14" s="42">
        <f>VLOOKUP(C14,'A (old)'!C$21:E$973,3,FALSE)</f>
        <v>41661.308377467496</v>
      </c>
      <c r="F14" s="17" t="s">
        <v>51</v>
      </c>
      <c r="G14" s="9" t="str">
        <f t="shared" si="4"/>
        <v>51513.2960</v>
      </c>
      <c r="H14" s="12">
        <f t="shared" si="5"/>
        <v>41661</v>
      </c>
      <c r="I14" s="43" t="s">
        <v>60</v>
      </c>
      <c r="J14" s="44" t="s">
        <v>61</v>
      </c>
      <c r="K14" s="43">
        <v>41661</v>
      </c>
      <c r="L14" s="43" t="s">
        <v>62</v>
      </c>
      <c r="M14" s="44" t="s">
        <v>56</v>
      </c>
      <c r="N14" s="44" t="s">
        <v>57</v>
      </c>
      <c r="O14" s="45" t="s">
        <v>58</v>
      </c>
      <c r="P14" s="45" t="s">
        <v>59</v>
      </c>
    </row>
    <row r="15" spans="1:16" ht="12.75" customHeight="1" thickBot="1" x14ac:dyDescent="0.25">
      <c r="A15" s="12" t="str">
        <f t="shared" si="0"/>
        <v> BBS 122 </v>
      </c>
      <c r="B15" s="17" t="str">
        <f t="shared" si="1"/>
        <v>II</v>
      </c>
      <c r="C15" s="12">
        <f t="shared" si="2"/>
        <v>51549.372000000003</v>
      </c>
      <c r="D15" s="9" t="str">
        <f t="shared" si="3"/>
        <v>vis</v>
      </c>
      <c r="E15" s="42">
        <f>VLOOKUP(C15,'A (old)'!C$21:E$973,3,FALSE)</f>
        <v>41769.866393837263</v>
      </c>
      <c r="F15" s="17" t="s">
        <v>51</v>
      </c>
      <c r="G15" s="9" t="str">
        <f t="shared" si="4"/>
        <v>51549.372</v>
      </c>
      <c r="H15" s="12">
        <f t="shared" si="5"/>
        <v>41769.5</v>
      </c>
      <c r="I15" s="43" t="s">
        <v>63</v>
      </c>
      <c r="J15" s="44" t="s">
        <v>64</v>
      </c>
      <c r="K15" s="43">
        <v>41769.5</v>
      </c>
      <c r="L15" s="43" t="s">
        <v>65</v>
      </c>
      <c r="M15" s="44" t="s">
        <v>56</v>
      </c>
      <c r="N15" s="44" t="s">
        <v>57</v>
      </c>
      <c r="O15" s="45" t="s">
        <v>58</v>
      </c>
      <c r="P15" s="45" t="s">
        <v>66</v>
      </c>
    </row>
    <row r="16" spans="1:16" ht="12.75" customHeight="1" thickBot="1" x14ac:dyDescent="0.25">
      <c r="A16" s="12" t="str">
        <f t="shared" si="0"/>
        <v> BBS 122 </v>
      </c>
      <c r="B16" s="17" t="str">
        <f t="shared" si="1"/>
        <v>II</v>
      </c>
      <c r="C16" s="12">
        <f t="shared" si="2"/>
        <v>51551.364000000001</v>
      </c>
      <c r="D16" s="9" t="str">
        <f t="shared" si="3"/>
        <v>vis</v>
      </c>
      <c r="E16" s="42">
        <f>VLOOKUP(C16,'A (old)'!C$21:E$973,3,FALSE)</f>
        <v>41775.860616273465</v>
      </c>
      <c r="F16" s="17" t="s">
        <v>51</v>
      </c>
      <c r="G16" s="9" t="str">
        <f t="shared" si="4"/>
        <v>51551.364</v>
      </c>
      <c r="H16" s="12">
        <f t="shared" si="5"/>
        <v>41775.5</v>
      </c>
      <c r="I16" s="43" t="s">
        <v>67</v>
      </c>
      <c r="J16" s="44" t="s">
        <v>68</v>
      </c>
      <c r="K16" s="43">
        <v>41775.5</v>
      </c>
      <c r="L16" s="43" t="s">
        <v>69</v>
      </c>
      <c r="M16" s="44" t="s">
        <v>56</v>
      </c>
      <c r="N16" s="44" t="s">
        <v>57</v>
      </c>
      <c r="O16" s="45" t="s">
        <v>58</v>
      </c>
      <c r="P16" s="45" t="s">
        <v>66</v>
      </c>
    </row>
    <row r="17" spans="1:16" ht="12.75" customHeight="1" thickBot="1" x14ac:dyDescent="0.25">
      <c r="A17" s="12" t="str">
        <f t="shared" si="0"/>
        <v> BBS 122 </v>
      </c>
      <c r="B17" s="17" t="str">
        <f t="shared" si="1"/>
        <v>I</v>
      </c>
      <c r="C17" s="12">
        <f t="shared" si="2"/>
        <v>51551.534099999997</v>
      </c>
      <c r="D17" s="9" t="str">
        <f t="shared" si="3"/>
        <v>vis</v>
      </c>
      <c r="E17" s="42">
        <f>VLOOKUP(C17,'A (old)'!C$21:E$973,3,FALSE)</f>
        <v>41776.372472315823</v>
      </c>
      <c r="F17" s="17" t="s">
        <v>51</v>
      </c>
      <c r="G17" s="9" t="str">
        <f t="shared" si="4"/>
        <v>51551.5341</v>
      </c>
      <c r="H17" s="12">
        <f t="shared" si="5"/>
        <v>41776</v>
      </c>
      <c r="I17" s="43" t="s">
        <v>70</v>
      </c>
      <c r="J17" s="44" t="s">
        <v>71</v>
      </c>
      <c r="K17" s="43">
        <v>41776</v>
      </c>
      <c r="L17" s="43" t="s">
        <v>72</v>
      </c>
      <c r="M17" s="44" t="s">
        <v>56</v>
      </c>
      <c r="N17" s="44" t="s">
        <v>57</v>
      </c>
      <c r="O17" s="45" t="s">
        <v>58</v>
      </c>
      <c r="P17" s="45" t="s">
        <v>66</v>
      </c>
    </row>
    <row r="18" spans="1:16" ht="12.75" customHeight="1" thickBot="1" x14ac:dyDescent="0.25">
      <c r="A18" s="12" t="str">
        <f t="shared" si="0"/>
        <v> BBS 123 </v>
      </c>
      <c r="B18" s="17" t="str">
        <f t="shared" si="1"/>
        <v>I</v>
      </c>
      <c r="C18" s="12">
        <f t="shared" si="2"/>
        <v>51675.4</v>
      </c>
      <c r="D18" s="9" t="str">
        <f t="shared" si="3"/>
        <v>vis</v>
      </c>
      <c r="E18" s="42">
        <f>VLOOKUP(C18,'A (old)'!C$21:E$973,3,FALSE)</f>
        <v>42149.103273952809</v>
      </c>
      <c r="F18" s="17" t="s">
        <v>51</v>
      </c>
      <c r="G18" s="9" t="str">
        <f t="shared" si="4"/>
        <v>51675.400</v>
      </c>
      <c r="H18" s="12">
        <f t="shared" si="5"/>
        <v>42149</v>
      </c>
      <c r="I18" s="43" t="s">
        <v>73</v>
      </c>
      <c r="J18" s="44" t="s">
        <v>74</v>
      </c>
      <c r="K18" s="43">
        <v>42149</v>
      </c>
      <c r="L18" s="43" t="s">
        <v>75</v>
      </c>
      <c r="M18" s="44" t="s">
        <v>56</v>
      </c>
      <c r="N18" s="44" t="s">
        <v>57</v>
      </c>
      <c r="O18" s="45" t="s">
        <v>58</v>
      </c>
      <c r="P18" s="45" t="s">
        <v>76</v>
      </c>
    </row>
    <row r="19" spans="1:16" ht="12.75" customHeight="1" thickBot="1" x14ac:dyDescent="0.25">
      <c r="A19" s="12" t="str">
        <f t="shared" si="0"/>
        <v> BBS 124 </v>
      </c>
      <c r="B19" s="17" t="str">
        <f t="shared" si="1"/>
        <v>I</v>
      </c>
      <c r="C19" s="12">
        <f t="shared" si="2"/>
        <v>51860.271000000001</v>
      </c>
      <c r="D19" s="9" t="str">
        <f t="shared" si="3"/>
        <v>vis</v>
      </c>
      <c r="E19" s="42">
        <f>VLOOKUP(C19,'A (old)'!C$21:E$973,3,FALSE)</f>
        <v>42705.407438613373</v>
      </c>
      <c r="F19" s="17" t="s">
        <v>51</v>
      </c>
      <c r="G19" s="9" t="str">
        <f t="shared" si="4"/>
        <v>51860.2710</v>
      </c>
      <c r="H19" s="12">
        <f t="shared" si="5"/>
        <v>42705</v>
      </c>
      <c r="I19" s="43" t="s">
        <v>77</v>
      </c>
      <c r="J19" s="44" t="s">
        <v>78</v>
      </c>
      <c r="K19" s="43">
        <v>42705</v>
      </c>
      <c r="L19" s="43" t="s">
        <v>79</v>
      </c>
      <c r="M19" s="44" t="s">
        <v>56</v>
      </c>
      <c r="N19" s="44" t="s">
        <v>57</v>
      </c>
      <c r="O19" s="45" t="s">
        <v>58</v>
      </c>
      <c r="P19" s="45" t="s">
        <v>80</v>
      </c>
    </row>
    <row r="20" spans="1:16" ht="12.75" customHeight="1" thickBot="1" x14ac:dyDescent="0.25">
      <c r="A20" s="12" t="str">
        <f t="shared" si="0"/>
        <v> BBS 124 </v>
      </c>
      <c r="B20" s="17" t="str">
        <f t="shared" si="1"/>
        <v>II</v>
      </c>
      <c r="C20" s="12">
        <f t="shared" si="2"/>
        <v>51860.434000000001</v>
      </c>
      <c r="D20" s="9" t="str">
        <f t="shared" si="3"/>
        <v>vis</v>
      </c>
      <c r="E20" s="42">
        <f>VLOOKUP(C20,'A (old)'!C$21:E$973,3,FALSE)</f>
        <v>42705.897929706298</v>
      </c>
      <c r="F20" s="17" t="s">
        <v>51</v>
      </c>
      <c r="G20" s="9" t="str">
        <f t="shared" si="4"/>
        <v>51860.434</v>
      </c>
      <c r="H20" s="12">
        <f t="shared" si="5"/>
        <v>42705.5</v>
      </c>
      <c r="I20" s="43" t="s">
        <v>81</v>
      </c>
      <c r="J20" s="44" t="s">
        <v>82</v>
      </c>
      <c r="K20" s="43">
        <v>42705.5</v>
      </c>
      <c r="L20" s="43" t="s">
        <v>83</v>
      </c>
      <c r="M20" s="44" t="s">
        <v>56</v>
      </c>
      <c r="N20" s="44" t="s">
        <v>57</v>
      </c>
      <c r="O20" s="45" t="s">
        <v>58</v>
      </c>
      <c r="P20" s="45" t="s">
        <v>80</v>
      </c>
    </row>
    <row r="21" spans="1:16" ht="12.75" customHeight="1" thickBot="1" x14ac:dyDescent="0.25">
      <c r="A21" s="12" t="str">
        <f t="shared" si="0"/>
        <v>BAVM 212 </v>
      </c>
      <c r="B21" s="17" t="str">
        <f t="shared" si="1"/>
        <v>II</v>
      </c>
      <c r="C21" s="12">
        <f t="shared" si="2"/>
        <v>55125.396699999998</v>
      </c>
      <c r="D21" s="9" t="str">
        <f t="shared" si="3"/>
        <v>vis</v>
      </c>
      <c r="E21" s="42">
        <f>VLOOKUP(C21,'A (old)'!C$21:E$973,3,FALSE)</f>
        <v>52530.653285989392</v>
      </c>
      <c r="F21" s="17" t="s">
        <v>51</v>
      </c>
      <c r="G21" s="9" t="str">
        <f t="shared" si="4"/>
        <v>55125.3967</v>
      </c>
      <c r="H21" s="12">
        <f t="shared" si="5"/>
        <v>52529.5</v>
      </c>
      <c r="I21" s="43" t="s">
        <v>96</v>
      </c>
      <c r="J21" s="44" t="s">
        <v>97</v>
      </c>
      <c r="K21" s="43">
        <v>52529.5</v>
      </c>
      <c r="L21" s="43" t="s">
        <v>98</v>
      </c>
      <c r="M21" s="44" t="s">
        <v>87</v>
      </c>
      <c r="N21" s="44" t="s">
        <v>88</v>
      </c>
      <c r="O21" s="45" t="s">
        <v>99</v>
      </c>
      <c r="P21" s="46" t="s">
        <v>100</v>
      </c>
    </row>
    <row r="22" spans="1:16" x14ac:dyDescent="0.2">
      <c r="B22" s="17"/>
      <c r="F22" s="17"/>
    </row>
    <row r="23" spans="1:16" x14ac:dyDescent="0.2">
      <c r="B23" s="17"/>
      <c r="F23" s="17"/>
    </row>
    <row r="24" spans="1:16" x14ac:dyDescent="0.2">
      <c r="B24" s="17"/>
      <c r="F24" s="17"/>
    </row>
    <row r="25" spans="1:16" x14ac:dyDescent="0.2">
      <c r="B25" s="17"/>
      <c r="F25" s="17"/>
    </row>
    <row r="26" spans="1:16" x14ac:dyDescent="0.2">
      <c r="B26" s="17"/>
      <c r="F26" s="17"/>
    </row>
    <row r="27" spans="1:16" x14ac:dyDescent="0.2">
      <c r="B27" s="17"/>
      <c r="F27" s="17"/>
    </row>
    <row r="28" spans="1:16" x14ac:dyDescent="0.2">
      <c r="B28" s="17"/>
      <c r="F28" s="17"/>
    </row>
    <row r="29" spans="1:16" x14ac:dyDescent="0.2">
      <c r="B29" s="17"/>
      <c r="F29" s="17"/>
    </row>
    <row r="30" spans="1:16" x14ac:dyDescent="0.2">
      <c r="B30" s="17"/>
      <c r="F30" s="17"/>
    </row>
    <row r="31" spans="1:16" x14ac:dyDescent="0.2">
      <c r="B31" s="17"/>
      <c r="F31" s="17"/>
    </row>
    <row r="32" spans="1:16" x14ac:dyDescent="0.2">
      <c r="B32" s="17"/>
      <c r="F32" s="17"/>
    </row>
    <row r="33" spans="2:6" x14ac:dyDescent="0.2">
      <c r="B33" s="17"/>
      <c r="F33" s="17"/>
    </row>
    <row r="34" spans="2:6" x14ac:dyDescent="0.2">
      <c r="B34" s="17"/>
      <c r="F34" s="17"/>
    </row>
    <row r="35" spans="2:6" x14ac:dyDescent="0.2">
      <c r="B35" s="17"/>
      <c r="F35" s="17"/>
    </row>
    <row r="36" spans="2:6" x14ac:dyDescent="0.2">
      <c r="B36" s="17"/>
      <c r="F36" s="17"/>
    </row>
    <row r="37" spans="2:6" x14ac:dyDescent="0.2">
      <c r="B37" s="17"/>
      <c r="F37" s="17"/>
    </row>
    <row r="38" spans="2:6" x14ac:dyDescent="0.2">
      <c r="B38" s="17"/>
      <c r="F38" s="17"/>
    </row>
    <row r="39" spans="2:6" x14ac:dyDescent="0.2">
      <c r="B39" s="17"/>
      <c r="F39" s="17"/>
    </row>
    <row r="40" spans="2:6" x14ac:dyDescent="0.2">
      <c r="B40" s="17"/>
      <c r="F40" s="17"/>
    </row>
    <row r="41" spans="2:6" x14ac:dyDescent="0.2">
      <c r="B41" s="17"/>
      <c r="F41" s="17"/>
    </row>
    <row r="42" spans="2:6" x14ac:dyDescent="0.2">
      <c r="B42" s="17"/>
      <c r="F42" s="17"/>
    </row>
    <row r="43" spans="2:6" x14ac:dyDescent="0.2">
      <c r="B43" s="17"/>
      <c r="F43" s="17"/>
    </row>
    <row r="44" spans="2:6" x14ac:dyDescent="0.2">
      <c r="B44" s="17"/>
      <c r="F44" s="17"/>
    </row>
    <row r="45" spans="2:6" x14ac:dyDescent="0.2">
      <c r="B45" s="17"/>
      <c r="F45" s="17"/>
    </row>
    <row r="46" spans="2:6" x14ac:dyDescent="0.2">
      <c r="B46" s="17"/>
      <c r="F46" s="17"/>
    </row>
    <row r="47" spans="2:6" x14ac:dyDescent="0.2">
      <c r="B47" s="17"/>
      <c r="F47" s="17"/>
    </row>
    <row r="48" spans="2:6" x14ac:dyDescent="0.2">
      <c r="B48" s="17"/>
      <c r="F48" s="17"/>
    </row>
    <row r="49" spans="2:6" x14ac:dyDescent="0.2">
      <c r="B49" s="17"/>
      <c r="F49" s="17"/>
    </row>
    <row r="50" spans="2:6" x14ac:dyDescent="0.2">
      <c r="B50" s="17"/>
      <c r="F50" s="17"/>
    </row>
    <row r="51" spans="2:6" x14ac:dyDescent="0.2">
      <c r="B51" s="17"/>
      <c r="F51" s="17"/>
    </row>
    <row r="52" spans="2:6" x14ac:dyDescent="0.2">
      <c r="B52" s="17"/>
      <c r="F52" s="17"/>
    </row>
    <row r="53" spans="2:6" x14ac:dyDescent="0.2">
      <c r="B53" s="17"/>
      <c r="F53" s="17"/>
    </row>
    <row r="54" spans="2:6" x14ac:dyDescent="0.2">
      <c r="B54" s="17"/>
      <c r="F54" s="17"/>
    </row>
    <row r="55" spans="2:6" x14ac:dyDescent="0.2">
      <c r="B55" s="17"/>
      <c r="F55" s="17"/>
    </row>
    <row r="56" spans="2:6" x14ac:dyDescent="0.2">
      <c r="B56" s="17"/>
      <c r="F56" s="17"/>
    </row>
    <row r="57" spans="2:6" x14ac:dyDescent="0.2">
      <c r="B57" s="17"/>
      <c r="F57" s="17"/>
    </row>
    <row r="58" spans="2:6" x14ac:dyDescent="0.2">
      <c r="B58" s="17"/>
      <c r="F58" s="17"/>
    </row>
    <row r="59" spans="2:6" x14ac:dyDescent="0.2">
      <c r="B59" s="17"/>
      <c r="F59" s="17"/>
    </row>
    <row r="60" spans="2:6" x14ac:dyDescent="0.2">
      <c r="B60" s="17"/>
      <c r="F60" s="17"/>
    </row>
    <row r="61" spans="2:6" x14ac:dyDescent="0.2">
      <c r="B61" s="17"/>
      <c r="F61" s="17"/>
    </row>
    <row r="62" spans="2:6" x14ac:dyDescent="0.2">
      <c r="B62" s="17"/>
      <c r="F62" s="17"/>
    </row>
    <row r="63" spans="2:6" x14ac:dyDescent="0.2">
      <c r="B63" s="17"/>
      <c r="F63" s="17"/>
    </row>
    <row r="64" spans="2:6" x14ac:dyDescent="0.2">
      <c r="B64" s="17"/>
      <c r="F64" s="17"/>
    </row>
    <row r="65" spans="2:6" x14ac:dyDescent="0.2">
      <c r="B65" s="17"/>
      <c r="F65" s="17"/>
    </row>
    <row r="66" spans="2:6" x14ac:dyDescent="0.2">
      <c r="B66" s="17"/>
      <c r="F66" s="17"/>
    </row>
    <row r="67" spans="2:6" x14ac:dyDescent="0.2">
      <c r="B67" s="17"/>
      <c r="F67" s="17"/>
    </row>
    <row r="68" spans="2:6" x14ac:dyDescent="0.2">
      <c r="B68" s="17"/>
      <c r="F68" s="17"/>
    </row>
    <row r="69" spans="2:6" x14ac:dyDescent="0.2">
      <c r="B69" s="17"/>
      <c r="F69" s="17"/>
    </row>
    <row r="70" spans="2:6" x14ac:dyDescent="0.2">
      <c r="B70" s="17"/>
      <c r="F70" s="17"/>
    </row>
    <row r="71" spans="2:6" x14ac:dyDescent="0.2">
      <c r="B71" s="17"/>
      <c r="F71" s="17"/>
    </row>
    <row r="72" spans="2:6" x14ac:dyDescent="0.2">
      <c r="B72" s="17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</sheetData>
  <phoneticPr fontId="7" type="noConversion"/>
  <hyperlinks>
    <hyperlink ref="P11" r:id="rId1" display="http://var.astro.cz/oejv/issues/oejv0074.pdf"/>
    <hyperlink ref="P12" r:id="rId2" display="http://www.bav-astro.de/sfs/BAVM_link.php?BAVMnr=158"/>
    <hyperlink ref="P21" r:id="rId3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2024-02-02T04:19:35Z</dcterms:modified>
</cp:coreProperties>
</file>