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760D2E1-73F3-4D64-8816-EC548CCBE7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2" i="1"/>
  <c r="Q54" i="1"/>
  <c r="Q57" i="1"/>
  <c r="G20" i="2"/>
  <c r="C20" i="2"/>
  <c r="G19" i="2"/>
  <c r="C19" i="2"/>
  <c r="G48" i="2"/>
  <c r="C48" i="2"/>
  <c r="G18" i="2"/>
  <c r="C18" i="2"/>
  <c r="G17" i="2"/>
  <c r="C17" i="2"/>
  <c r="G47" i="2"/>
  <c r="C47" i="2"/>
  <c r="G16" i="2"/>
  <c r="C16" i="2"/>
  <c r="G46" i="2"/>
  <c r="C46" i="2"/>
  <c r="G15" i="2"/>
  <c r="C15" i="2"/>
  <c r="G14" i="2"/>
  <c r="C14" i="2"/>
  <c r="G13" i="2"/>
  <c r="C13" i="2"/>
  <c r="G12" i="2"/>
  <c r="C12" i="2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H20" i="2"/>
  <c r="B20" i="2"/>
  <c r="D20" i="2"/>
  <c r="A20" i="2"/>
  <c r="H19" i="2"/>
  <c r="D19" i="2"/>
  <c r="B19" i="2"/>
  <c r="A19" i="2"/>
  <c r="H48" i="2"/>
  <c r="B48" i="2"/>
  <c r="D48" i="2"/>
  <c r="A48" i="2"/>
  <c r="H18" i="2"/>
  <c r="D18" i="2"/>
  <c r="B18" i="2"/>
  <c r="A18" i="2"/>
  <c r="H17" i="2"/>
  <c r="B17" i="2"/>
  <c r="D17" i="2"/>
  <c r="A17" i="2"/>
  <c r="H47" i="2"/>
  <c r="D47" i="2"/>
  <c r="B47" i="2"/>
  <c r="A47" i="2"/>
  <c r="H16" i="2"/>
  <c r="B16" i="2"/>
  <c r="D16" i="2"/>
  <c r="A16" i="2"/>
  <c r="H46" i="2"/>
  <c r="D46" i="2"/>
  <c r="B46" i="2"/>
  <c r="A4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Q56" i="1"/>
  <c r="Q58" i="1"/>
  <c r="Q59" i="1"/>
  <c r="Q53" i="1"/>
  <c r="Q55" i="1"/>
  <c r="F16" i="1"/>
  <c r="F17" i="1" s="1"/>
  <c r="C17" i="1"/>
  <c r="Q51" i="1"/>
  <c r="Q47" i="1"/>
  <c r="Q48" i="1"/>
  <c r="Q49" i="1"/>
  <c r="Q50" i="1"/>
  <c r="C8" i="1"/>
  <c r="C7" i="1"/>
  <c r="E21" i="1"/>
  <c r="F21" i="1"/>
  <c r="Q33" i="1"/>
  <c r="E15" i="2"/>
  <c r="E46" i="2"/>
  <c r="E28" i="2"/>
  <c r="E44" i="2"/>
  <c r="E21" i="2"/>
  <c r="E22" i="2"/>
  <c r="E20" i="2"/>
  <c r="E11" i="2"/>
  <c r="E12" i="2"/>
  <c r="E25" i="2"/>
  <c r="E31" i="2"/>
  <c r="E14" i="2"/>
  <c r="E17" i="2"/>
  <c r="G59" i="1"/>
  <c r="J59" i="1"/>
  <c r="E56" i="1"/>
  <c r="F56" i="1"/>
  <c r="G56" i="1"/>
  <c r="J56" i="1"/>
  <c r="E33" i="1"/>
  <c r="F33" i="1"/>
  <c r="G33" i="1"/>
  <c r="H33" i="1"/>
  <c r="E54" i="1"/>
  <c r="F54" i="1"/>
  <c r="G54" i="1"/>
  <c r="K54" i="1"/>
  <c r="E40" i="1"/>
  <c r="F40" i="1"/>
  <c r="G40" i="1"/>
  <c r="I40" i="1"/>
  <c r="E31" i="1"/>
  <c r="F31" i="1"/>
  <c r="G25" i="1"/>
  <c r="I25" i="1"/>
  <c r="E23" i="1"/>
  <c r="F23" i="1"/>
  <c r="G55" i="1"/>
  <c r="J55" i="1"/>
  <c r="E51" i="1"/>
  <c r="F51" i="1"/>
  <c r="G51" i="1"/>
  <c r="J51" i="1"/>
  <c r="G52" i="1"/>
  <c r="K52" i="1"/>
  <c r="E45" i="1"/>
  <c r="F45" i="1"/>
  <c r="E37" i="1"/>
  <c r="F37" i="1"/>
  <c r="G37" i="1"/>
  <c r="I37" i="1"/>
  <c r="E28" i="1"/>
  <c r="F28" i="1"/>
  <c r="G28" i="1"/>
  <c r="I28" i="1"/>
  <c r="G22" i="1"/>
  <c r="I22" i="1"/>
  <c r="E59" i="1"/>
  <c r="F59" i="1"/>
  <c r="G50" i="1"/>
  <c r="J50" i="1"/>
  <c r="E48" i="1"/>
  <c r="F48" i="1"/>
  <c r="G48" i="1"/>
  <c r="J48" i="1"/>
  <c r="E42" i="1"/>
  <c r="F42" i="1"/>
  <c r="G42" i="1"/>
  <c r="I42" i="1"/>
  <c r="E34" i="1"/>
  <c r="F34" i="1"/>
  <c r="G34" i="1"/>
  <c r="I34" i="1"/>
  <c r="G27" i="1"/>
  <c r="I27" i="1"/>
  <c r="E25" i="1"/>
  <c r="F25" i="1"/>
  <c r="E55" i="1"/>
  <c r="F55" i="1"/>
  <c r="E52" i="1"/>
  <c r="F52" i="1"/>
  <c r="G41" i="1"/>
  <c r="I41" i="1"/>
  <c r="E39" i="1"/>
  <c r="F39" i="1"/>
  <c r="G39" i="1"/>
  <c r="I39" i="1"/>
  <c r="E30" i="1"/>
  <c r="F30" i="1"/>
  <c r="G30" i="1"/>
  <c r="I30" i="1"/>
  <c r="E22" i="1"/>
  <c r="F22" i="1"/>
  <c r="G53" i="1"/>
  <c r="J53" i="1"/>
  <c r="E50" i="1"/>
  <c r="F50" i="1"/>
  <c r="E44" i="1"/>
  <c r="F44" i="1"/>
  <c r="G44" i="1"/>
  <c r="I44" i="1"/>
  <c r="E36" i="1"/>
  <c r="F36" i="1"/>
  <c r="G36" i="1"/>
  <c r="I36" i="1"/>
  <c r="E27" i="1"/>
  <c r="F27" i="1"/>
  <c r="E58" i="1"/>
  <c r="F58" i="1"/>
  <c r="G58" i="1"/>
  <c r="J58" i="1"/>
  <c r="E47" i="1"/>
  <c r="F47" i="1"/>
  <c r="G47" i="1"/>
  <c r="J47" i="1"/>
  <c r="E57" i="1"/>
  <c r="F57" i="1"/>
  <c r="G57" i="1"/>
  <c r="K57" i="1"/>
  <c r="G43" i="1"/>
  <c r="I43" i="1"/>
  <c r="E41" i="1"/>
  <c r="F41" i="1"/>
  <c r="E32" i="1"/>
  <c r="F32" i="1"/>
  <c r="G32" i="1"/>
  <c r="I32" i="1"/>
  <c r="G26" i="1"/>
  <c r="I26" i="1"/>
  <c r="E24" i="1"/>
  <c r="F24" i="1"/>
  <c r="G24" i="1"/>
  <c r="I24" i="1"/>
  <c r="G21" i="1"/>
  <c r="E53" i="1"/>
  <c r="F53" i="1"/>
  <c r="E46" i="1"/>
  <c r="F46" i="1"/>
  <c r="G46" i="1"/>
  <c r="I46" i="1"/>
  <c r="E38" i="1"/>
  <c r="F38" i="1"/>
  <c r="G38" i="1"/>
  <c r="I38" i="1"/>
  <c r="G31" i="1"/>
  <c r="I31" i="1"/>
  <c r="E29" i="1"/>
  <c r="F29" i="1"/>
  <c r="G29" i="1"/>
  <c r="I29" i="1"/>
  <c r="G23" i="1"/>
  <c r="I23" i="1"/>
  <c r="E49" i="1"/>
  <c r="F49" i="1"/>
  <c r="G49" i="1"/>
  <c r="J49" i="1"/>
  <c r="G45" i="1"/>
  <c r="I45" i="1"/>
  <c r="E43" i="1"/>
  <c r="F43" i="1"/>
  <c r="E35" i="1"/>
  <c r="F35" i="1"/>
  <c r="G35" i="1"/>
  <c r="I35" i="1"/>
  <c r="E26" i="1"/>
  <c r="F26" i="1"/>
  <c r="E26" i="2"/>
  <c r="E27" i="2"/>
  <c r="E48" i="2"/>
  <c r="E42" i="2"/>
  <c r="E16" i="2"/>
  <c r="E45" i="2"/>
  <c r="E41" i="2"/>
  <c r="E32" i="2"/>
  <c r="E43" i="2"/>
  <c r="E36" i="2"/>
  <c r="E40" i="2"/>
  <c r="E39" i="2"/>
  <c r="E18" i="2"/>
  <c r="E30" i="2"/>
  <c r="E24" i="2"/>
  <c r="E35" i="2"/>
  <c r="E34" i="2"/>
  <c r="I21" i="1"/>
  <c r="E38" i="2"/>
  <c r="E29" i="2"/>
  <c r="E37" i="2"/>
  <c r="E13" i="2"/>
  <c r="E23" i="2"/>
  <c r="E33" i="2"/>
  <c r="E47" i="2"/>
  <c r="E19" i="2"/>
  <c r="C11" i="1"/>
  <c r="C12" i="1"/>
  <c r="C16" i="1" l="1"/>
  <c r="D18" i="1" s="1"/>
  <c r="O40" i="1"/>
  <c r="O54" i="1"/>
  <c r="O21" i="1"/>
  <c r="O57" i="1"/>
  <c r="O39" i="1"/>
  <c r="O33" i="1"/>
  <c r="O51" i="1"/>
  <c r="O29" i="1"/>
  <c r="O58" i="1"/>
  <c r="O28" i="1"/>
  <c r="O42" i="1"/>
  <c r="O24" i="1"/>
  <c r="O31" i="1"/>
  <c r="C15" i="1"/>
  <c r="O52" i="1"/>
  <c r="O56" i="1"/>
  <c r="O26" i="1"/>
  <c r="O38" i="1"/>
  <c r="O50" i="1"/>
  <c r="O25" i="1"/>
  <c r="O37" i="1"/>
  <c r="O36" i="1"/>
  <c r="O59" i="1"/>
  <c r="O49" i="1"/>
  <c r="O30" i="1"/>
  <c r="O35" i="1"/>
  <c r="O46" i="1"/>
  <c r="O27" i="1"/>
  <c r="O34" i="1"/>
  <c r="O45" i="1"/>
  <c r="O43" i="1"/>
  <c r="O55" i="1"/>
  <c r="O44" i="1"/>
  <c r="O32" i="1"/>
  <c r="O48" i="1"/>
  <c r="O41" i="1"/>
  <c r="O23" i="1"/>
  <c r="O53" i="1"/>
  <c r="O22" i="1"/>
  <c r="O47" i="1"/>
  <c r="C18" i="1" l="1"/>
  <c r="F18" i="1"/>
  <c r="F19" i="1" s="1"/>
</calcChain>
</file>

<file path=xl/sharedStrings.xml><?xml version="1.0" encoding="utf-8"?>
<sst xmlns="http://schemas.openxmlformats.org/spreadsheetml/2006/main" count="444" uniqueCount="195">
  <si>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</si>
  <si>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</si>
  <si>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</si>
  <si>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</si>
  <si>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</si>
  <si>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</si>
  <si>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</si>
  <si>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</si>
  <si>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</si>
  <si>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</si>
  <si>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</si>
  <si>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</si>
  <si>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</si>
  <si>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</si>
  <si>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</si>
  <si>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</si>
  <si>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</si>
  <si>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</si>
  <si>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</si>
  <si>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</si>
  <si>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</si>
  <si>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</si>
  <si>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</si>
  <si>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</si>
  <si>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</si>
  <si>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</si>
  <si>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</si>
  <si>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</si>
  <si>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</si>
  <si>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IBVS 5731</t>
  </si>
  <si>
    <t>EB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</si>
  <si>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</si>
  <si>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</si>
  <si>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</si>
  <si>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</si>
  <si>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</si>
  <si>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</si>
  <si>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</si>
  <si>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Add cycle</t>
  </si>
  <si>
    <t>Old Cycle</t>
  </si>
  <si>
    <t>Start of linear fit &gt;&gt;&gt;&gt;&gt;&gt;&gt;&gt;&gt;&gt;&gt;&gt;&gt;&gt;&gt;&gt;&gt;&gt;&gt;&gt;&gt;</t>
  </si>
  <si>
    <t>IBVS 5959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</si>
  <si>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</si>
  <si>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</si>
  <si>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</si>
  <si>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</si>
  <si>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</si>
  <si>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</si>
  <si>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</si>
  <si>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</si>
  <si>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</si>
  <si>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</si>
  <si>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</si>
  <si>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</si>
  <si>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</si>
  <si>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2432768.360 </t>
  </si>
  <si>
    <t> 04.08.1948 20:38 </t>
  </si>
  <si>
    <t> -0.017 </t>
  </si>
  <si>
    <t>P </t>
  </si>
  <si>
    <t> A.A.Wachmann </t>
  </si>
  <si>
    <t> AHSB 6.1.75 </t>
  </si>
  <si>
    <t>2432775.520 </t>
  </si>
  <si>
    <t> 12.08.1948 00:28 </t>
  </si>
  <si>
    <t> -0.025 </t>
  </si>
  <si>
    <t>2432793.455 </t>
  </si>
  <si>
    <t> 29.08.1948 22:55 </t>
  </si>
  <si>
    <t> -0.009 </t>
  </si>
  <si>
    <t>2432881.280 </t>
  </si>
  <si>
    <t> 25.11.1948 18:43 </t>
  </si>
  <si>
    <t> 0.009 </t>
  </si>
  <si>
    <t>2433542.487 </t>
  </si>
  <si>
    <t> 17.09.1950 23:41 </t>
  </si>
  <si>
    <t> -0.020 </t>
  </si>
  <si>
    <t>2433922.390 </t>
  </si>
  <si>
    <t> 02.10.1951 21:21 </t>
  </si>
  <si>
    <t> -0.014 </t>
  </si>
  <si>
    <t>2434119.508 </t>
  </si>
  <si>
    <t> 17.04.1952 00:11 </t>
  </si>
  <si>
    <t> -0.012 </t>
  </si>
  <si>
    <t>2434153.550 </t>
  </si>
  <si>
    <t> 21.05.1952 01:12 </t>
  </si>
  <si>
    <t> -0.018 </t>
  </si>
  <si>
    <t>2434214.525 </t>
  </si>
  <si>
    <t> 21.07.1952 00:36 </t>
  </si>
  <si>
    <t> 0.030 </t>
  </si>
  <si>
    <t>2434601.544 </t>
  </si>
  <si>
    <t> 12.08.1953 01:03 </t>
  </si>
  <si>
    <t> -0.015 </t>
  </si>
  <si>
    <t>2434603.363 </t>
  </si>
  <si>
    <t> 13.08.1953 20:42 </t>
  </si>
  <si>
    <t> 0.012 </t>
  </si>
  <si>
    <t>2434628.432 </t>
  </si>
  <si>
    <t> 07.09.1953 22:22 </t>
  </si>
  <si>
    <t> -0.007 </t>
  </si>
  <si>
    <t>2434637.392 </t>
  </si>
  <si>
    <t> 16.09.1953 21:24 </t>
  </si>
  <si>
    <t>2434655.290 </t>
  </si>
  <si>
    <t> 04.10.1953 18:57 </t>
  </si>
  <si>
    <t> -0.029 </t>
  </si>
  <si>
    <t>2434662.477 </t>
  </si>
  <si>
    <t> 11.10.1953 23:26 </t>
  </si>
  <si>
    <t>2434664.292 </t>
  </si>
  <si>
    <t> 13.10.1953 19:00 </t>
  </si>
  <si>
    <t> 0.014 </t>
  </si>
  <si>
    <t>2434707.307 </t>
  </si>
  <si>
    <t> 25.11.1953 19:22 </t>
  </si>
  <si>
    <t> 0.021 </t>
  </si>
  <si>
    <t>2434947.422 </t>
  </si>
  <si>
    <t> 23.07.1954 22:07 </t>
  </si>
  <si>
    <t> 0.013 </t>
  </si>
  <si>
    <t>2434981.430 </t>
  </si>
  <si>
    <t> 26.08.1954 22:19 </t>
  </si>
  <si>
    <t> -0.027 </t>
  </si>
  <si>
    <t>2435044.186 </t>
  </si>
  <si>
    <t> 28.10.1954 16:27 </t>
  </si>
  <si>
    <t> 0.011 </t>
  </si>
  <si>
    <t>2435309.392 </t>
  </si>
  <si>
    <t> 20.07.1955 21:24 </t>
  </si>
  <si>
    <t> 0.005 </t>
  </si>
  <si>
    <t>2435370.320 </t>
  </si>
  <si>
    <t> 19.09.1955 19:40 </t>
  </si>
  <si>
    <t> 0.006 </t>
  </si>
  <si>
    <t>2436816.417 </t>
  </si>
  <si>
    <t> 04.09.1959 22:00 </t>
  </si>
  <si>
    <t>2436823.565 </t>
  </si>
  <si>
    <t> 12.09.1959 01:33 </t>
  </si>
  <si>
    <t> -0.034 </t>
  </si>
  <si>
    <t>2436850.475 </t>
  </si>
  <si>
    <t> 08.10.1959 23:24 </t>
  </si>
  <si>
    <t> -0.004 </t>
  </si>
  <si>
    <t>2453569.4677 </t>
  </si>
  <si>
    <t> 17.07.2005 23:13 </t>
  </si>
  <si>
    <t> -0.0678 </t>
  </si>
  <si>
    <t>C </t>
  </si>
  <si>
    <t>-I</t>
  </si>
  <si>
    <t> Agerer </t>
  </si>
  <si>
    <t>BAVM 178 </t>
  </si>
  <si>
    <t>2453578.4323 </t>
  </si>
  <si>
    <t> 26.07.2005 22:22 </t>
  </si>
  <si>
    <t>5287.5</t>
  </si>
  <si>
    <t> -0.0630 </t>
  </si>
  <si>
    <t>2453612.4781 </t>
  </si>
  <si>
    <t> 29.08.2005 23:28 </t>
  </si>
  <si>
    <t>5297</t>
  </si>
  <si>
    <t> -0.0646 </t>
  </si>
  <si>
    <t>2453621.4377 </t>
  </si>
  <si>
    <t> 07.09.2005 22:30 </t>
  </si>
  <si>
    <t>5299.5</t>
  </si>
  <si>
    <t> -0.0648 </t>
  </si>
  <si>
    <t>2453992.3719 </t>
  </si>
  <si>
    <t> 13.09.2006 20:55 </t>
  </si>
  <si>
    <t>5403</t>
  </si>
  <si>
    <t> -0.0679 </t>
  </si>
  <si>
    <t> F. Agerer </t>
  </si>
  <si>
    <t>BAVM 183 </t>
  </si>
  <si>
    <t>2455060.3824 </t>
  </si>
  <si>
    <t> 16.08.2009 21:10 </t>
  </si>
  <si>
    <t>5701</t>
  </si>
  <si>
    <t> -0.0700 </t>
  </si>
  <si>
    <t> F.Agerer </t>
  </si>
  <si>
    <t>BAVM 212 </t>
  </si>
  <si>
    <t>2455085.4615 </t>
  </si>
  <si>
    <t> 10.09.2009 23:04 </t>
  </si>
  <si>
    <t>5708</t>
  </si>
  <si>
    <t> -0.0785 </t>
  </si>
  <si>
    <t>o</t>
  </si>
  <si>
    <t> U.Schmidt </t>
  </si>
  <si>
    <t>BAVM 214 </t>
  </si>
  <si>
    <t>2455103.3897 </t>
  </si>
  <si>
    <t> 28.09.2009 21:21 </t>
  </si>
  <si>
    <t>5713</t>
  </si>
  <si>
    <t>2455386.5169 </t>
  </si>
  <si>
    <t> 09.07.2010 00:24 </t>
  </si>
  <si>
    <t>5792</t>
  </si>
  <si>
    <t> -0.0736 </t>
  </si>
  <si>
    <t>2455429.5263 </t>
  </si>
  <si>
    <t> 21.08.2010 00:37 </t>
  </si>
  <si>
    <t>5804</t>
  </si>
  <si>
    <t> -0.0714 </t>
  </si>
  <si>
    <t>BAVM 215 </t>
  </si>
  <si>
    <t>2455791.5031 </t>
  </si>
  <si>
    <t> 18.08.2011 00:04 </t>
  </si>
  <si>
    <t>5905</t>
  </si>
  <si>
    <t> -0.0721 </t>
  </si>
  <si>
    <t>BAVM 225 </t>
  </si>
  <si>
    <t>2456929.4025 </t>
  </si>
  <si>
    <t> 28.09.2014 21:39 </t>
  </si>
  <si>
    <t>6222.5</t>
  </si>
  <si>
    <t> -0.0720 </t>
  </si>
  <si>
    <t>BAVM 239 </t>
  </si>
  <si>
    <t>2456929.4038 </t>
  </si>
  <si>
    <t> 28.09.2014 21:41 </t>
  </si>
  <si>
    <t> -0.0707 </t>
  </si>
  <si>
    <t>II</t>
  </si>
  <si>
    <t>V0941 Cyg / GSC 02656-00904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</si>
</sst>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0" xfId="0" applyAlignment="1">
      <alignment horizontal="center" wrapText="1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V0941 Cyg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80452405950567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04-4271-BCA1-EB7C09B79A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-1.6734999997424893E-2</c:v>
                </c:pt>
                <c:pt idx="1">
                  <c:v>-2.4604999998700805E-2</c:v>
                </c:pt>
                <c:pt idx="2">
                  <c:v>-9.2799999983981252E-3</c:v>
                </c:pt>
                <c:pt idx="3">
                  <c:v>9.3124999984866008E-3</c:v>
                </c:pt>
                <c:pt idx="4">
                  <c:v>-1.969499999540858E-2</c:v>
                </c:pt>
                <c:pt idx="5">
                  <c:v>-1.3805000002321322E-2</c:v>
                </c:pt>
                <c:pt idx="6">
                  <c:v>-1.2230000000272412E-2</c:v>
                </c:pt>
                <c:pt idx="7">
                  <c:v>-1.7612499992537778E-2</c:v>
                </c:pt>
                <c:pt idx="8">
                  <c:v>3.049250000185566E-2</c:v>
                </c:pt>
                <c:pt idx="9">
                  <c:v>-1.54874999934691E-2</c:v>
                </c:pt>
                <c:pt idx="10">
                  <c:v>1.1545000001206063E-2</c:v>
                </c:pt>
                <c:pt idx="11">
                  <c:v>-6.9999999977881089E-3</c:v>
                </c:pt>
                <c:pt idx="13">
                  <c:v>-6.8374999973457307E-3</c:v>
                </c:pt>
                <c:pt idx="14">
                  <c:v>-2.8512500000942964E-2</c:v>
                </c:pt>
                <c:pt idx="15">
                  <c:v>-9.3825000003562309E-3</c:v>
                </c:pt>
                <c:pt idx="16">
                  <c:v>1.3650000000779983E-2</c:v>
                </c:pt>
                <c:pt idx="17">
                  <c:v>2.1430000000691507E-2</c:v>
                </c:pt>
                <c:pt idx="18">
                  <c:v>1.2784999998984858E-2</c:v>
                </c:pt>
                <c:pt idx="19">
                  <c:v>-2.6597500000207219E-2</c:v>
                </c:pt>
                <c:pt idx="20">
                  <c:v>1.0540000002947636E-2</c:v>
                </c:pt>
                <c:pt idx="21">
                  <c:v>5.349999999452848E-3</c:v>
                </c:pt>
                <c:pt idx="22">
                  <c:v>6.4550000024610199E-3</c:v>
                </c:pt>
                <c:pt idx="23">
                  <c:v>-1.4317499997559935E-2</c:v>
                </c:pt>
                <c:pt idx="24">
                  <c:v>-3.4187499994004611E-2</c:v>
                </c:pt>
                <c:pt idx="25">
                  <c:v>-3.7000000011175871E-3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04-4271-BCA1-EB7C09B79A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6">
                  <c:v>-6.7774999995890539E-2</c:v>
                </c:pt>
                <c:pt idx="27">
                  <c:v>-6.3012500002514571E-2</c:v>
                </c:pt>
                <c:pt idx="28">
                  <c:v>-6.4594999996188562E-2</c:v>
                </c:pt>
                <c:pt idx="29">
                  <c:v>-6.4832500000193249E-2</c:v>
                </c:pt>
                <c:pt idx="30">
                  <c:v>-6.7905000003520399E-2</c:v>
                </c:pt>
                <c:pt idx="32">
                  <c:v>-7.8480000003764872E-2</c:v>
                </c:pt>
                <c:pt idx="34">
                  <c:v>-7.3619999995571561E-2</c:v>
                </c:pt>
                <c:pt idx="35">
                  <c:v>-7.143999999971129E-2</c:v>
                </c:pt>
                <c:pt idx="37">
                  <c:v>-7.203750000189757E-2</c:v>
                </c:pt>
                <c:pt idx="38">
                  <c:v>-7.0737499998358544E-2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04-4271-BCA1-EB7C09B79A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1">
                  <c:v>-7.0034999997005798E-2</c:v>
                </c:pt>
                <c:pt idx="33">
                  <c:v>-6.9954999999026768E-2</c:v>
                </c:pt>
                <c:pt idx="36">
                  <c:v>-7.2074999996402767E-2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04-4271-BCA1-EB7C09B79A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04-4271-BCA1-EB7C09B79A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04-4271-BCA1-EB7C09B79A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04-4271-BCA1-EB7C09B79A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1.4505984123377568E-4</c:v>
                </c:pt>
                <c:pt idx="1">
                  <c:v>1.2259614097378732E-4</c:v>
                </c:pt>
                <c:pt idx="2">
                  <c:v>6.6436890323815119E-5</c:v>
                </c:pt>
                <c:pt idx="3">
                  <c:v>-2.0874343786104685E-4</c:v>
                </c:pt>
                <c:pt idx="4">
                  <c:v>-2.2810197868450071E-3</c:v>
                </c:pt>
                <c:pt idx="5">
                  <c:v>-3.4715959006244097E-3</c:v>
                </c:pt>
                <c:pt idx="6">
                  <c:v>-4.0893476577741001E-3</c:v>
                </c:pt>
                <c:pt idx="7">
                  <c:v>-4.1960502340090463E-3</c:v>
                </c:pt>
                <c:pt idx="8">
                  <c:v>-4.3869916862189504E-3</c:v>
                </c:pt>
                <c:pt idx="9">
                  <c:v>-5.6000315002583418E-3</c:v>
                </c:pt>
                <c:pt idx="10">
                  <c:v>-5.6056474253233391E-3</c:v>
                </c:pt>
                <c:pt idx="11">
                  <c:v>-5.6842703762332997E-3</c:v>
                </c:pt>
                <c:pt idx="12">
                  <c:v>-5.6842703762332997E-3</c:v>
                </c:pt>
                <c:pt idx="13">
                  <c:v>-5.7123500015582853E-3</c:v>
                </c:pt>
                <c:pt idx="14">
                  <c:v>-5.7685092522082575E-3</c:v>
                </c:pt>
                <c:pt idx="15">
                  <c:v>-5.7909729524682459E-3</c:v>
                </c:pt>
                <c:pt idx="16">
                  <c:v>-5.7965888775332432E-3</c:v>
                </c:pt>
                <c:pt idx="17">
                  <c:v>-5.931371079093176E-3</c:v>
                </c:pt>
                <c:pt idx="18">
                  <c:v>-6.6839050378027978E-3</c:v>
                </c:pt>
                <c:pt idx="19">
                  <c:v>-6.7906076140377448E-3</c:v>
                </c:pt>
                <c:pt idx="20">
                  <c:v>-6.9871649913126463E-3</c:v>
                </c:pt>
                <c:pt idx="21">
                  <c:v>-7.8183219009322295E-3</c:v>
                </c:pt>
                <c:pt idx="22">
                  <c:v>-8.0092633531421327E-3</c:v>
                </c:pt>
                <c:pt idx="23">
                  <c:v>-1.2541314880594859E-2</c:v>
                </c:pt>
                <c:pt idx="24">
                  <c:v>-1.2563778580854848E-2</c:v>
                </c:pt>
                <c:pt idx="25">
                  <c:v>-1.2648017456829806E-2</c:v>
                </c:pt>
                <c:pt idx="26">
                  <c:v>-6.5044598313253515E-2</c:v>
                </c:pt>
                <c:pt idx="27">
                  <c:v>-6.5072677938578502E-2</c:v>
                </c:pt>
                <c:pt idx="28">
                  <c:v>-6.5179380514813451E-2</c:v>
                </c:pt>
                <c:pt idx="29">
                  <c:v>-6.5207460140138437E-2</c:v>
                </c:pt>
                <c:pt idx="30">
                  <c:v>-6.6369956628592852E-2</c:v>
                </c:pt>
                <c:pt idx="31">
                  <c:v>-6.9717047967331178E-2</c:v>
                </c:pt>
                <c:pt idx="32">
                  <c:v>-6.979567091824114E-2</c:v>
                </c:pt>
                <c:pt idx="33">
                  <c:v>-6.9851830168891099E-2</c:v>
                </c:pt>
                <c:pt idx="34">
                  <c:v>-7.073914632916066E-2</c:v>
                </c:pt>
                <c:pt idx="35">
                  <c:v>-7.0873928530720595E-2</c:v>
                </c:pt>
                <c:pt idx="36">
                  <c:v>-7.2008345393850023E-2</c:v>
                </c:pt>
                <c:pt idx="37">
                  <c:v>-7.557445781012323E-2</c:v>
                </c:pt>
                <c:pt idx="38">
                  <c:v>-7.557445781012323E-2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04-4271-BCA1-EB7C09B79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543848"/>
        <c:axId val="1"/>
      </c:scatterChart>
      <c:valAx>
        <c:axId val="882543848"/>
        <c:scaling>
          <c:orientation val="minMax"/>
          <c:min val="52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543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6334490902692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V0941 Cyg - O-C Diagr.</a:t>
            </a:r>
          </a:p>
        </c:rich>
      </c:tx>
      <c:layout>
        <c:manualLayout>
          <c:xMode val="edge"/>
          <c:yMode val="edge"/>
          <c:x val="0.3629032258064516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12903225806451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A-48B9-9068-CF0FB0DE95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-1.6734999997424893E-2</c:v>
                </c:pt>
                <c:pt idx="1">
                  <c:v>-2.4604999998700805E-2</c:v>
                </c:pt>
                <c:pt idx="2">
                  <c:v>-9.2799999983981252E-3</c:v>
                </c:pt>
                <c:pt idx="3">
                  <c:v>9.3124999984866008E-3</c:v>
                </c:pt>
                <c:pt idx="4">
                  <c:v>-1.969499999540858E-2</c:v>
                </c:pt>
                <c:pt idx="5">
                  <c:v>-1.3805000002321322E-2</c:v>
                </c:pt>
                <c:pt idx="6">
                  <c:v>-1.2230000000272412E-2</c:v>
                </c:pt>
                <c:pt idx="7">
                  <c:v>-1.7612499992537778E-2</c:v>
                </c:pt>
                <c:pt idx="8">
                  <c:v>3.049250000185566E-2</c:v>
                </c:pt>
                <c:pt idx="9">
                  <c:v>-1.54874999934691E-2</c:v>
                </c:pt>
                <c:pt idx="10">
                  <c:v>1.1545000001206063E-2</c:v>
                </c:pt>
                <c:pt idx="11">
                  <c:v>-6.9999999977881089E-3</c:v>
                </c:pt>
                <c:pt idx="13">
                  <c:v>-6.8374999973457307E-3</c:v>
                </c:pt>
                <c:pt idx="14">
                  <c:v>-2.8512500000942964E-2</c:v>
                </c:pt>
                <c:pt idx="15">
                  <c:v>-9.3825000003562309E-3</c:v>
                </c:pt>
                <c:pt idx="16">
                  <c:v>1.3650000000779983E-2</c:v>
                </c:pt>
                <c:pt idx="17">
                  <c:v>2.1430000000691507E-2</c:v>
                </c:pt>
                <c:pt idx="18">
                  <c:v>1.2784999998984858E-2</c:v>
                </c:pt>
                <c:pt idx="19">
                  <c:v>-2.6597500000207219E-2</c:v>
                </c:pt>
                <c:pt idx="20">
                  <c:v>1.0540000002947636E-2</c:v>
                </c:pt>
                <c:pt idx="21">
                  <c:v>5.349999999452848E-3</c:v>
                </c:pt>
                <c:pt idx="22">
                  <c:v>6.4550000024610199E-3</c:v>
                </c:pt>
                <c:pt idx="23">
                  <c:v>-1.4317499997559935E-2</c:v>
                </c:pt>
                <c:pt idx="24">
                  <c:v>-3.4187499994004611E-2</c:v>
                </c:pt>
                <c:pt idx="25">
                  <c:v>-3.7000000011175871E-3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EA-48B9-9068-CF0FB0DE95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6">
                  <c:v>-6.7774999995890539E-2</c:v>
                </c:pt>
                <c:pt idx="27">
                  <c:v>-6.3012500002514571E-2</c:v>
                </c:pt>
                <c:pt idx="28">
                  <c:v>-6.4594999996188562E-2</c:v>
                </c:pt>
                <c:pt idx="29">
                  <c:v>-6.4832500000193249E-2</c:v>
                </c:pt>
                <c:pt idx="30">
                  <c:v>-6.7905000003520399E-2</c:v>
                </c:pt>
                <c:pt idx="32">
                  <c:v>-7.8480000003764872E-2</c:v>
                </c:pt>
                <c:pt idx="34">
                  <c:v>-7.3619999995571561E-2</c:v>
                </c:pt>
                <c:pt idx="35">
                  <c:v>-7.143999999971129E-2</c:v>
                </c:pt>
                <c:pt idx="37">
                  <c:v>-7.203750000189757E-2</c:v>
                </c:pt>
                <c:pt idx="38">
                  <c:v>-7.0737499998358544E-2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EA-48B9-9068-CF0FB0DE95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1">
                  <c:v>-7.0034999997005798E-2</c:v>
                </c:pt>
                <c:pt idx="33">
                  <c:v>-6.9954999999026768E-2</c:v>
                </c:pt>
                <c:pt idx="36">
                  <c:v>-7.2074999996402767E-2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A-48B9-9068-CF0FB0DE95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EA-48B9-9068-CF0FB0DE95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EA-48B9-9068-CF0FB0DE95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1.5E-3</c:v>
                  </c:pt>
                  <c:pt idx="27">
                    <c:v>1E-3</c:v>
                  </c:pt>
                  <c:pt idx="28">
                    <c:v>1.6999999999999999E-3</c:v>
                  </c:pt>
                  <c:pt idx="29">
                    <c:v>2E-3</c:v>
                  </c:pt>
                  <c:pt idx="30">
                    <c:v>8.0000000000000004E-4</c:v>
                  </c:pt>
                  <c:pt idx="31">
                    <c:v>0</c:v>
                  </c:pt>
                  <c:pt idx="32">
                    <c:v>2.8999999999999998E-3</c:v>
                  </c:pt>
                  <c:pt idx="33">
                    <c:v>0</c:v>
                  </c:pt>
                  <c:pt idx="34">
                    <c:v>2.3E-3</c:v>
                  </c:pt>
                  <c:pt idx="35">
                    <c:v>2.3999999999999998E-3</c:v>
                  </c:pt>
                  <c:pt idx="36">
                    <c:v>0</c:v>
                  </c:pt>
                  <c:pt idx="37">
                    <c:v>5.7000000000000002E-3</c:v>
                  </c:pt>
                  <c:pt idx="3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EA-48B9-9068-CF0FB0DE95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-519</c:v>
                </c:pt>
                <c:pt idx="1">
                  <c:v>-517</c:v>
                </c:pt>
                <c:pt idx="2">
                  <c:v>-512</c:v>
                </c:pt>
                <c:pt idx="3">
                  <c:v>-487.5</c:v>
                </c:pt>
                <c:pt idx="4">
                  <c:v>-303</c:v>
                </c:pt>
                <c:pt idx="5">
                  <c:v>-197</c:v>
                </c:pt>
                <c:pt idx="6">
                  <c:v>-142</c:v>
                </c:pt>
                <c:pt idx="7">
                  <c:v>-132.5</c:v>
                </c:pt>
                <c:pt idx="8">
                  <c:v>-115.5</c:v>
                </c:pt>
                <c:pt idx="9">
                  <c:v>-7.5</c:v>
                </c:pt>
                <c:pt idx="10">
                  <c:v>-7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7.5</c:v>
                </c:pt>
                <c:pt idx="15">
                  <c:v>9.5</c:v>
                </c:pt>
                <c:pt idx="16">
                  <c:v>10</c:v>
                </c:pt>
                <c:pt idx="17">
                  <c:v>22</c:v>
                </c:pt>
                <c:pt idx="18">
                  <c:v>89</c:v>
                </c:pt>
                <c:pt idx="19">
                  <c:v>98.5</c:v>
                </c:pt>
                <c:pt idx="20">
                  <c:v>116</c:v>
                </c:pt>
                <c:pt idx="21">
                  <c:v>190</c:v>
                </c:pt>
                <c:pt idx="22">
                  <c:v>207</c:v>
                </c:pt>
                <c:pt idx="23">
                  <c:v>610.5</c:v>
                </c:pt>
                <c:pt idx="24">
                  <c:v>612.5</c:v>
                </c:pt>
                <c:pt idx="25">
                  <c:v>620</c:v>
                </c:pt>
                <c:pt idx="26">
                  <c:v>5285</c:v>
                </c:pt>
                <c:pt idx="27">
                  <c:v>5287.5</c:v>
                </c:pt>
                <c:pt idx="28">
                  <c:v>5297</c:v>
                </c:pt>
                <c:pt idx="29">
                  <c:v>5299.5</c:v>
                </c:pt>
                <c:pt idx="30">
                  <c:v>5403</c:v>
                </c:pt>
                <c:pt idx="31">
                  <c:v>5701</c:v>
                </c:pt>
                <c:pt idx="32">
                  <c:v>5708</c:v>
                </c:pt>
                <c:pt idx="33">
                  <c:v>5713</c:v>
                </c:pt>
                <c:pt idx="34">
                  <c:v>5792</c:v>
                </c:pt>
                <c:pt idx="35">
                  <c:v>5804</c:v>
                </c:pt>
                <c:pt idx="36">
                  <c:v>5905</c:v>
                </c:pt>
                <c:pt idx="37">
                  <c:v>6222.5</c:v>
                </c:pt>
                <c:pt idx="38">
                  <c:v>6222.5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1.4505984123377568E-4</c:v>
                </c:pt>
                <c:pt idx="1">
                  <c:v>1.2259614097378732E-4</c:v>
                </c:pt>
                <c:pt idx="2">
                  <c:v>6.6436890323815119E-5</c:v>
                </c:pt>
                <c:pt idx="3">
                  <c:v>-2.0874343786104685E-4</c:v>
                </c:pt>
                <c:pt idx="4">
                  <c:v>-2.2810197868450071E-3</c:v>
                </c:pt>
                <c:pt idx="5">
                  <c:v>-3.4715959006244097E-3</c:v>
                </c:pt>
                <c:pt idx="6">
                  <c:v>-4.0893476577741001E-3</c:v>
                </c:pt>
                <c:pt idx="7">
                  <c:v>-4.1960502340090463E-3</c:v>
                </c:pt>
                <c:pt idx="8">
                  <c:v>-4.3869916862189504E-3</c:v>
                </c:pt>
                <c:pt idx="9">
                  <c:v>-5.6000315002583418E-3</c:v>
                </c:pt>
                <c:pt idx="10">
                  <c:v>-5.6056474253233391E-3</c:v>
                </c:pt>
                <c:pt idx="11">
                  <c:v>-5.6842703762332997E-3</c:v>
                </c:pt>
                <c:pt idx="12">
                  <c:v>-5.6842703762332997E-3</c:v>
                </c:pt>
                <c:pt idx="13">
                  <c:v>-5.7123500015582853E-3</c:v>
                </c:pt>
                <c:pt idx="14">
                  <c:v>-5.7685092522082575E-3</c:v>
                </c:pt>
                <c:pt idx="15">
                  <c:v>-5.7909729524682459E-3</c:v>
                </c:pt>
                <c:pt idx="16">
                  <c:v>-5.7965888775332432E-3</c:v>
                </c:pt>
                <c:pt idx="17">
                  <c:v>-5.931371079093176E-3</c:v>
                </c:pt>
                <c:pt idx="18">
                  <c:v>-6.6839050378027978E-3</c:v>
                </c:pt>
                <c:pt idx="19">
                  <c:v>-6.7906076140377448E-3</c:v>
                </c:pt>
                <c:pt idx="20">
                  <c:v>-6.9871649913126463E-3</c:v>
                </c:pt>
                <c:pt idx="21">
                  <c:v>-7.8183219009322295E-3</c:v>
                </c:pt>
                <c:pt idx="22">
                  <c:v>-8.0092633531421327E-3</c:v>
                </c:pt>
                <c:pt idx="23">
                  <c:v>-1.2541314880594859E-2</c:v>
                </c:pt>
                <c:pt idx="24">
                  <c:v>-1.2563778580854848E-2</c:v>
                </c:pt>
                <c:pt idx="25">
                  <c:v>-1.2648017456829806E-2</c:v>
                </c:pt>
                <c:pt idx="26">
                  <c:v>-6.5044598313253515E-2</c:v>
                </c:pt>
                <c:pt idx="27">
                  <c:v>-6.5072677938578502E-2</c:v>
                </c:pt>
                <c:pt idx="28">
                  <c:v>-6.5179380514813451E-2</c:v>
                </c:pt>
                <c:pt idx="29">
                  <c:v>-6.5207460140138437E-2</c:v>
                </c:pt>
                <c:pt idx="30">
                  <c:v>-6.6369956628592852E-2</c:v>
                </c:pt>
                <c:pt idx="31">
                  <c:v>-6.9717047967331178E-2</c:v>
                </c:pt>
                <c:pt idx="32">
                  <c:v>-6.979567091824114E-2</c:v>
                </c:pt>
                <c:pt idx="33">
                  <c:v>-6.9851830168891099E-2</c:v>
                </c:pt>
                <c:pt idx="34">
                  <c:v>-7.073914632916066E-2</c:v>
                </c:pt>
                <c:pt idx="35">
                  <c:v>-7.0873928530720595E-2</c:v>
                </c:pt>
                <c:pt idx="36">
                  <c:v>-7.2008345393850023E-2</c:v>
                </c:pt>
                <c:pt idx="37">
                  <c:v>-7.557445781012323E-2</c:v>
                </c:pt>
                <c:pt idx="38">
                  <c:v>-7.557445781012323E-2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EA-48B9-9068-CF0FB0DE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032384"/>
        <c:axId val="1"/>
      </c:scatterChart>
      <c:valAx>
        <c:axId val="767032384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032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80645161290322"/>
          <c:y val="0.92097264437689974"/>
          <c:w val="0.6741935483870967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495300</xdr:colOff>
      <xdr:row>18</xdr:row>
      <xdr:rowOff>47625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F9CF6EE-72F9-2DD4-A7E9-0AB9180DC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0</xdr:row>
      <xdr:rowOff>0</xdr:rowOff>
    </xdr:from>
    <xdr:to>
      <xdr:col>27</xdr:col>
      <xdr:colOff>123825</xdr:colOff>
      <xdr:row>18</xdr:row>
      <xdr:rowOff>19049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5924B0F2-E7B8-7EC5-A5B0-AF0F5EB5C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13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214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www.bav-astro.de/sfs/BAVM_link.php?BAVMnr=212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83" TargetMode="External"/><Relationship Id="rId10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21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194</v>
      </c>
    </row>
    <row r="2" spans="1:6" x14ac:dyDescent="0.2">
      <c r="A2" t="s">
        <v>24</v>
      </c>
      <c r="B2" s="13" t="s">
        <v>30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34628.438999999998</v>
      </c>
      <c r="D4" s="9">
        <v>3.5839349999999999</v>
      </c>
    </row>
    <row r="5" spans="1:6" ht="13.5" thickTop="1" x14ac:dyDescent="0.2">
      <c r="A5" s="15" t="s">
        <v>31</v>
      </c>
      <c r="B5" s="16"/>
      <c r="C5" s="17">
        <v>-9.5</v>
      </c>
      <c r="D5" s="16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34628.438999999998</v>
      </c>
    </row>
    <row r="8" spans="1:6" x14ac:dyDescent="0.2">
      <c r="A8" t="s">
        <v>3</v>
      </c>
      <c r="C8">
        <f>+D4</f>
        <v>3.5839349999999999</v>
      </c>
    </row>
    <row r="9" spans="1:6" x14ac:dyDescent="0.2">
      <c r="A9" s="31" t="s">
        <v>40</v>
      </c>
      <c r="B9" s="32">
        <v>21</v>
      </c>
      <c r="C9" s="29" t="str">
        <f>"F"&amp;B9</f>
        <v>F21</v>
      </c>
      <c r="D9" s="30" t="str">
        <f>"G"&amp;B9</f>
        <v>G21</v>
      </c>
    </row>
    <row r="10" spans="1:6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6" x14ac:dyDescent="0.2">
      <c r="A11" s="16" t="s">
        <v>16</v>
      </c>
      <c r="B11" s="16"/>
      <c r="C11" s="28">
        <f ca="1">INTERCEPT(INDIRECT($D$9):G992,INDIRECT($C$9):F992)</f>
        <v>-5.6842703762332997E-3</v>
      </c>
      <c r="D11" s="3"/>
      <c r="E11" s="16"/>
    </row>
    <row r="12" spans="1:6" x14ac:dyDescent="0.2">
      <c r="A12" s="16" t="s">
        <v>17</v>
      </c>
      <c r="B12" s="16"/>
      <c r="C12" s="28">
        <f ca="1">SLOPE(INDIRECT($D$9):G992,INDIRECT($C$9):F992)</f>
        <v>-1.1231850129994365E-5</v>
      </c>
      <c r="D12" s="3"/>
      <c r="E12" s="16"/>
    </row>
    <row r="13" spans="1:6" x14ac:dyDescent="0.2">
      <c r="A13" s="16" t="s">
        <v>19</v>
      </c>
      <c r="B13" s="16"/>
      <c r="C13" s="3" t="s">
        <v>14</v>
      </c>
    </row>
    <row r="14" spans="1:6" x14ac:dyDescent="0.2">
      <c r="A14" s="16"/>
      <c r="B14" s="16"/>
      <c r="C14" s="16"/>
    </row>
    <row r="15" spans="1:6" x14ac:dyDescent="0.2">
      <c r="A15" s="18" t="s">
        <v>18</v>
      </c>
      <c r="B15" s="16"/>
      <c r="C15" s="19">
        <f ca="1">(C7+C11)+(C8+C12)*INT(MAX(F21:F3533))</f>
        <v>56927.607001158111</v>
      </c>
      <c r="E15" s="20" t="s">
        <v>38</v>
      </c>
      <c r="F15" s="17">
        <v>1</v>
      </c>
    </row>
    <row r="16" spans="1:6" x14ac:dyDescent="0.2">
      <c r="A16" s="22" t="s">
        <v>4</v>
      </c>
      <c r="B16" s="16"/>
      <c r="C16" s="23">
        <f ca="1">+C8+C12</f>
        <v>3.5839237681498699</v>
      </c>
      <c r="E16" s="20" t="s">
        <v>33</v>
      </c>
      <c r="F16" s="21">
        <f ca="1">NOW()+15018.5+$C$5/24</f>
        <v>60342.722674074073</v>
      </c>
    </row>
    <row r="17" spans="1:17" ht="13.5" thickBot="1" x14ac:dyDescent="0.25">
      <c r="A17" s="20" t="s">
        <v>28</v>
      </c>
      <c r="B17" s="16"/>
      <c r="C17" s="16">
        <f>COUNT(C21:C2191)</f>
        <v>39</v>
      </c>
      <c r="E17" s="20" t="s">
        <v>39</v>
      </c>
      <c r="F17" s="21">
        <f ca="1">ROUND(2*(F16-$C$7)/$C$8,0)/2+F15</f>
        <v>7176</v>
      </c>
    </row>
    <row r="18" spans="1:17" ht="14.25" thickTop="1" thickBot="1" x14ac:dyDescent="0.25">
      <c r="A18" s="22" t="s">
        <v>5</v>
      </c>
      <c r="B18" s="16"/>
      <c r="C18" s="25">
        <f ca="1">+C15</f>
        <v>56927.607001158111</v>
      </c>
      <c r="D18" s="26">
        <f ca="1">+C16</f>
        <v>3.5839237681498699</v>
      </c>
      <c r="E18" s="20" t="s">
        <v>34</v>
      </c>
      <c r="F18" s="30">
        <f ca="1">ROUND(2*(F16-$C$15)/$C$16,0)/2+F15</f>
        <v>954</v>
      </c>
    </row>
    <row r="19" spans="1:17" ht="13.5" thickTop="1" x14ac:dyDescent="0.2">
      <c r="E19" s="20" t="s">
        <v>35</v>
      </c>
      <c r="F19" s="24">
        <f ca="1">+$C$15+$C$16*F18-15018.5-$C$5/24</f>
        <v>45328.566109306419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52" t="s">
        <v>60</v>
      </c>
      <c r="B21" s="53" t="s">
        <v>37</v>
      </c>
      <c r="C21" s="52">
        <v>32768.36</v>
      </c>
      <c r="D21" s="52" t="s">
        <v>54</v>
      </c>
      <c r="E21">
        <f t="shared" ref="E21:E59" si="0">+(C21-C$7)/C$8</f>
        <v>-519.00466944852462</v>
      </c>
      <c r="F21">
        <f t="shared" ref="F21:F59" si="1">ROUND(2*E21,0)/2</f>
        <v>-519</v>
      </c>
      <c r="G21">
        <f t="shared" ref="G21:G59" si="2">+C21-(C$7+F21*C$8)</f>
        <v>-1.6734999997424893E-2</v>
      </c>
      <c r="I21">
        <f t="shared" ref="I21:I32" si="3">+G21</f>
        <v>-1.6734999997424893E-2</v>
      </c>
      <c r="O21">
        <f t="shared" ref="O21:O59" ca="1" si="4">+C$11+C$12*$F21</f>
        <v>1.4505984123377568E-4</v>
      </c>
      <c r="Q21" s="2">
        <f t="shared" ref="Q21:Q59" si="5">+C21-15018.5</f>
        <v>17749.86</v>
      </c>
    </row>
    <row r="22" spans="1:17" x14ac:dyDescent="0.2">
      <c r="A22" s="52" t="s">
        <v>60</v>
      </c>
      <c r="B22" s="53" t="s">
        <v>37</v>
      </c>
      <c r="C22" s="52">
        <v>32775.519999999997</v>
      </c>
      <c r="D22" s="52" t="s">
        <v>54</v>
      </c>
      <c r="E22">
        <f t="shared" si="0"/>
        <v>-517.00686535888678</v>
      </c>
      <c r="F22">
        <f t="shared" si="1"/>
        <v>-517</v>
      </c>
      <c r="G22">
        <f t="shared" si="2"/>
        <v>-2.4604999998700805E-2</v>
      </c>
      <c r="I22">
        <f t="shared" si="3"/>
        <v>-2.4604999998700805E-2</v>
      </c>
      <c r="O22">
        <f t="shared" ca="1" si="4"/>
        <v>1.2259614097378732E-4</v>
      </c>
      <c r="Q22" s="2">
        <f t="shared" si="5"/>
        <v>17757.019999999997</v>
      </c>
    </row>
    <row r="23" spans="1:17" x14ac:dyDescent="0.2">
      <c r="A23" s="52" t="s">
        <v>60</v>
      </c>
      <c r="B23" s="53" t="s">
        <v>37</v>
      </c>
      <c r="C23" s="52">
        <v>32793.455000000002</v>
      </c>
      <c r="D23" s="52" t="s">
        <v>54</v>
      </c>
      <c r="E23">
        <f t="shared" si="0"/>
        <v>-512.00258933267389</v>
      </c>
      <c r="F23">
        <f t="shared" si="1"/>
        <v>-512</v>
      </c>
      <c r="G23">
        <f t="shared" si="2"/>
        <v>-9.2799999983981252E-3</v>
      </c>
      <c r="I23">
        <f t="shared" si="3"/>
        <v>-9.2799999983981252E-3</v>
      </c>
      <c r="O23">
        <f t="shared" ca="1" si="4"/>
        <v>6.6436890323815119E-5</v>
      </c>
      <c r="Q23" s="2">
        <f t="shared" si="5"/>
        <v>17774.955000000002</v>
      </c>
    </row>
    <row r="24" spans="1:17" x14ac:dyDescent="0.2">
      <c r="A24" s="52" t="s">
        <v>60</v>
      </c>
      <c r="B24" s="53" t="s">
        <v>193</v>
      </c>
      <c r="C24" s="52">
        <v>32881.279999999999</v>
      </c>
      <c r="D24" s="52" t="s">
        <v>54</v>
      </c>
      <c r="E24">
        <f t="shared" si="0"/>
        <v>-487.49740159908026</v>
      </c>
      <c r="F24">
        <f t="shared" si="1"/>
        <v>-487.5</v>
      </c>
      <c r="G24">
        <f t="shared" si="2"/>
        <v>9.3124999984866008E-3</v>
      </c>
      <c r="I24">
        <f t="shared" si="3"/>
        <v>9.3124999984866008E-3</v>
      </c>
      <c r="O24">
        <f t="shared" ca="1" si="4"/>
        <v>-2.0874343786104685E-4</v>
      </c>
      <c r="Q24" s="2">
        <f t="shared" si="5"/>
        <v>17862.78</v>
      </c>
    </row>
    <row r="25" spans="1:17" x14ac:dyDescent="0.2">
      <c r="A25" s="52" t="s">
        <v>60</v>
      </c>
      <c r="B25" s="53" t="s">
        <v>37</v>
      </c>
      <c r="C25" s="52">
        <v>33542.487000000001</v>
      </c>
      <c r="D25" s="52" t="s">
        <v>54</v>
      </c>
      <c r="E25">
        <f t="shared" si="0"/>
        <v>-303.00549535636043</v>
      </c>
      <c r="F25">
        <f t="shared" si="1"/>
        <v>-303</v>
      </c>
      <c r="G25">
        <f t="shared" si="2"/>
        <v>-1.969499999540858E-2</v>
      </c>
      <c r="I25">
        <f t="shared" si="3"/>
        <v>-1.969499999540858E-2</v>
      </c>
      <c r="O25">
        <f t="shared" ca="1" si="4"/>
        <v>-2.2810197868450071E-3</v>
      </c>
      <c r="Q25" s="2">
        <f t="shared" si="5"/>
        <v>18523.987000000001</v>
      </c>
    </row>
    <row r="26" spans="1:17" x14ac:dyDescent="0.2">
      <c r="A26" s="52" t="s">
        <v>60</v>
      </c>
      <c r="B26" s="53" t="s">
        <v>37</v>
      </c>
      <c r="C26" s="52">
        <v>33922.39</v>
      </c>
      <c r="D26" s="52" t="s">
        <v>54</v>
      </c>
      <c r="E26">
        <f t="shared" si="0"/>
        <v>-197.0038519113765</v>
      </c>
      <c r="F26">
        <f t="shared" si="1"/>
        <v>-197</v>
      </c>
      <c r="G26">
        <f t="shared" si="2"/>
        <v>-1.3805000002321322E-2</v>
      </c>
      <c r="I26">
        <f t="shared" si="3"/>
        <v>-1.3805000002321322E-2</v>
      </c>
      <c r="O26">
        <f t="shared" ca="1" si="4"/>
        <v>-3.4715959006244097E-3</v>
      </c>
      <c r="Q26" s="2">
        <f t="shared" si="5"/>
        <v>18903.89</v>
      </c>
    </row>
    <row r="27" spans="1:17" x14ac:dyDescent="0.2">
      <c r="A27" s="52" t="s">
        <v>60</v>
      </c>
      <c r="B27" s="53" t="s">
        <v>37</v>
      </c>
      <c r="C27" s="52">
        <v>34119.508000000002</v>
      </c>
      <c r="D27" s="52" t="s">
        <v>54</v>
      </c>
      <c r="E27">
        <f t="shared" si="0"/>
        <v>-142.00341245028073</v>
      </c>
      <c r="F27">
        <f t="shared" si="1"/>
        <v>-142</v>
      </c>
      <c r="G27">
        <f t="shared" si="2"/>
        <v>-1.2230000000272412E-2</v>
      </c>
      <c r="I27">
        <f t="shared" si="3"/>
        <v>-1.2230000000272412E-2</v>
      </c>
      <c r="O27">
        <f t="shared" ca="1" si="4"/>
        <v>-4.0893476577741001E-3</v>
      </c>
      <c r="Q27" s="2">
        <f t="shared" si="5"/>
        <v>19101.008000000002</v>
      </c>
    </row>
    <row r="28" spans="1:17" x14ac:dyDescent="0.2">
      <c r="A28" s="52" t="s">
        <v>60</v>
      </c>
      <c r="B28" s="53" t="s">
        <v>193</v>
      </c>
      <c r="C28" s="52">
        <v>34153.550000000003</v>
      </c>
      <c r="D28" s="52" t="s">
        <v>54</v>
      </c>
      <c r="E28">
        <f t="shared" si="0"/>
        <v>-132.50491429113407</v>
      </c>
      <c r="F28">
        <f t="shared" si="1"/>
        <v>-132.5</v>
      </c>
      <c r="G28">
        <f t="shared" si="2"/>
        <v>-1.7612499992537778E-2</v>
      </c>
      <c r="I28">
        <f t="shared" si="3"/>
        <v>-1.7612499992537778E-2</v>
      </c>
      <c r="O28">
        <f t="shared" ca="1" si="4"/>
        <v>-4.1960502340090463E-3</v>
      </c>
      <c r="Q28" s="2">
        <f t="shared" si="5"/>
        <v>19135.050000000003</v>
      </c>
    </row>
    <row r="29" spans="1:17" x14ac:dyDescent="0.2">
      <c r="A29" s="52" t="s">
        <v>60</v>
      </c>
      <c r="B29" s="53" t="s">
        <v>193</v>
      </c>
      <c r="C29" s="52">
        <v>34214.525000000001</v>
      </c>
      <c r="D29" s="52" t="s">
        <v>54</v>
      </c>
      <c r="E29">
        <f t="shared" si="0"/>
        <v>-115.49149189368586</v>
      </c>
      <c r="F29">
        <f t="shared" si="1"/>
        <v>-115.5</v>
      </c>
      <c r="G29">
        <f t="shared" si="2"/>
        <v>3.049250000185566E-2</v>
      </c>
      <c r="I29">
        <f t="shared" si="3"/>
        <v>3.049250000185566E-2</v>
      </c>
      <c r="O29">
        <f t="shared" ca="1" si="4"/>
        <v>-4.3869916862189504E-3</v>
      </c>
      <c r="Q29" s="2">
        <f t="shared" si="5"/>
        <v>19196.025000000001</v>
      </c>
    </row>
    <row r="30" spans="1:17" x14ac:dyDescent="0.2">
      <c r="A30" s="52" t="s">
        <v>60</v>
      </c>
      <c r="B30" s="53" t="s">
        <v>193</v>
      </c>
      <c r="C30" s="52">
        <v>34601.544000000002</v>
      </c>
      <c r="D30" s="52" t="s">
        <v>54</v>
      </c>
      <c r="E30">
        <f t="shared" si="0"/>
        <v>-7.5043213674346214</v>
      </c>
      <c r="F30">
        <f t="shared" si="1"/>
        <v>-7.5</v>
      </c>
      <c r="G30">
        <f t="shared" si="2"/>
        <v>-1.54874999934691E-2</v>
      </c>
      <c r="I30">
        <f t="shared" si="3"/>
        <v>-1.54874999934691E-2</v>
      </c>
      <c r="O30">
        <f t="shared" ca="1" si="4"/>
        <v>-5.6000315002583418E-3</v>
      </c>
      <c r="Q30" s="2">
        <f t="shared" si="5"/>
        <v>19583.044000000002</v>
      </c>
    </row>
    <row r="31" spans="1:17" x14ac:dyDescent="0.2">
      <c r="A31" s="52" t="s">
        <v>60</v>
      </c>
      <c r="B31" s="53" t="s">
        <v>37</v>
      </c>
      <c r="C31" s="52">
        <v>34603.362999999998</v>
      </c>
      <c r="D31" s="52" t="s">
        <v>54</v>
      </c>
      <c r="E31">
        <f t="shared" si="0"/>
        <v>-6.9967786804171759</v>
      </c>
      <c r="F31">
        <f t="shared" si="1"/>
        <v>-7</v>
      </c>
      <c r="G31">
        <f t="shared" si="2"/>
        <v>1.1545000001206063E-2</v>
      </c>
      <c r="I31">
        <f t="shared" si="3"/>
        <v>1.1545000001206063E-2</v>
      </c>
      <c r="O31">
        <f t="shared" ca="1" si="4"/>
        <v>-5.6056474253233391E-3</v>
      </c>
      <c r="Q31" s="2">
        <f t="shared" si="5"/>
        <v>19584.862999999998</v>
      </c>
    </row>
    <row r="32" spans="1:17" x14ac:dyDescent="0.2">
      <c r="A32" s="52" t="s">
        <v>60</v>
      </c>
      <c r="B32" s="53" t="s">
        <v>37</v>
      </c>
      <c r="C32" s="52">
        <v>34628.432000000001</v>
      </c>
      <c r="D32" s="52" t="s">
        <v>54</v>
      </c>
      <c r="E32">
        <f t="shared" si="0"/>
        <v>-1.953160422214161E-3</v>
      </c>
      <c r="F32">
        <f t="shared" si="1"/>
        <v>0</v>
      </c>
      <c r="G32">
        <f t="shared" si="2"/>
        <v>-6.9999999977881089E-3</v>
      </c>
      <c r="I32">
        <f t="shared" si="3"/>
        <v>-6.9999999977881089E-3</v>
      </c>
      <c r="O32">
        <f t="shared" ca="1" si="4"/>
        <v>-5.6842703762332997E-3</v>
      </c>
      <c r="Q32" s="2">
        <f t="shared" si="5"/>
        <v>19609.932000000001</v>
      </c>
    </row>
    <row r="33" spans="1:17" x14ac:dyDescent="0.2">
      <c r="A33" t="s">
        <v>12</v>
      </c>
      <c r="C33" s="14">
        <v>34628.438999999998</v>
      </c>
      <c r="D33" s="14" t="s">
        <v>14</v>
      </c>
      <c r="E33">
        <f t="shared" si="0"/>
        <v>0</v>
      </c>
      <c r="F33">
        <f t="shared" si="1"/>
        <v>0</v>
      </c>
      <c r="G33">
        <f t="shared" si="2"/>
        <v>0</v>
      </c>
      <c r="H33">
        <f>+G33</f>
        <v>0</v>
      </c>
      <c r="O33">
        <f t="shared" ca="1" si="4"/>
        <v>-5.6842703762332997E-3</v>
      </c>
      <c r="Q33" s="2">
        <f t="shared" si="5"/>
        <v>19609.938999999998</v>
      </c>
    </row>
    <row r="34" spans="1:17" x14ac:dyDescent="0.2">
      <c r="A34" s="52" t="s">
        <v>60</v>
      </c>
      <c r="B34" s="53" t="s">
        <v>193</v>
      </c>
      <c r="C34" s="52">
        <v>34637.392</v>
      </c>
      <c r="D34" s="52" t="s">
        <v>54</v>
      </c>
      <c r="E34">
        <f t="shared" si="0"/>
        <v>2.4980921808016436</v>
      </c>
      <c r="F34">
        <f t="shared" si="1"/>
        <v>2.5</v>
      </c>
      <c r="G34">
        <f t="shared" si="2"/>
        <v>-6.8374999973457307E-3</v>
      </c>
      <c r="I34">
        <f t="shared" ref="I34:I46" si="6">+G34</f>
        <v>-6.8374999973457307E-3</v>
      </c>
      <c r="O34">
        <f t="shared" ca="1" si="4"/>
        <v>-5.7123500015582853E-3</v>
      </c>
      <c r="Q34" s="2">
        <f t="shared" si="5"/>
        <v>19618.892</v>
      </c>
    </row>
    <row r="35" spans="1:17" x14ac:dyDescent="0.2">
      <c r="A35" s="52" t="s">
        <v>60</v>
      </c>
      <c r="B35" s="53" t="s">
        <v>193</v>
      </c>
      <c r="C35" s="52">
        <v>34655.29</v>
      </c>
      <c r="D35" s="52" t="s">
        <v>54</v>
      </c>
      <c r="E35">
        <f t="shared" si="0"/>
        <v>7.4920443590640975</v>
      </c>
      <c r="F35">
        <f t="shared" si="1"/>
        <v>7.5</v>
      </c>
      <c r="G35">
        <f t="shared" si="2"/>
        <v>-2.8512500000942964E-2</v>
      </c>
      <c r="I35">
        <f t="shared" si="6"/>
        <v>-2.8512500000942964E-2</v>
      </c>
      <c r="O35">
        <f t="shared" ca="1" si="4"/>
        <v>-5.7685092522082575E-3</v>
      </c>
      <c r="Q35" s="2">
        <f t="shared" si="5"/>
        <v>19636.79</v>
      </c>
    </row>
    <row r="36" spans="1:17" x14ac:dyDescent="0.2">
      <c r="A36" s="52" t="s">
        <v>60</v>
      </c>
      <c r="B36" s="53" t="s">
        <v>193</v>
      </c>
      <c r="C36" s="52">
        <v>34662.476999999999</v>
      </c>
      <c r="D36" s="52" t="s">
        <v>54</v>
      </c>
      <c r="E36">
        <f t="shared" si="0"/>
        <v>9.4973820674762433</v>
      </c>
      <c r="F36">
        <f t="shared" si="1"/>
        <v>9.5</v>
      </c>
      <c r="G36">
        <f t="shared" si="2"/>
        <v>-9.3825000003562309E-3</v>
      </c>
      <c r="I36">
        <f t="shared" si="6"/>
        <v>-9.3825000003562309E-3</v>
      </c>
      <c r="O36">
        <f t="shared" ca="1" si="4"/>
        <v>-5.7909729524682459E-3</v>
      </c>
      <c r="Q36" s="2">
        <f t="shared" si="5"/>
        <v>19643.976999999999</v>
      </c>
    </row>
    <row r="37" spans="1:17" x14ac:dyDescent="0.2">
      <c r="A37" s="52" t="s">
        <v>60</v>
      </c>
      <c r="B37" s="53" t="s">
        <v>37</v>
      </c>
      <c r="C37" s="52">
        <v>34664.292000000001</v>
      </c>
      <c r="D37" s="52" t="s">
        <v>54</v>
      </c>
      <c r="E37">
        <f t="shared" si="0"/>
        <v>10.003808662825302</v>
      </c>
      <c r="F37">
        <f t="shared" si="1"/>
        <v>10</v>
      </c>
      <c r="G37">
        <f t="shared" si="2"/>
        <v>1.3650000000779983E-2</v>
      </c>
      <c r="I37">
        <f t="shared" si="6"/>
        <v>1.3650000000779983E-2</v>
      </c>
      <c r="O37">
        <f t="shared" ca="1" si="4"/>
        <v>-5.7965888775332432E-3</v>
      </c>
      <c r="Q37" s="2">
        <f t="shared" si="5"/>
        <v>19645.792000000001</v>
      </c>
    </row>
    <row r="38" spans="1:17" x14ac:dyDescent="0.2">
      <c r="A38" s="52" t="s">
        <v>60</v>
      </c>
      <c r="B38" s="53" t="s">
        <v>37</v>
      </c>
      <c r="C38" s="52">
        <v>34707.307000000001</v>
      </c>
      <c r="D38" s="52" t="s">
        <v>54</v>
      </c>
      <c r="E38">
        <f t="shared" si="0"/>
        <v>22.005979461123658</v>
      </c>
      <c r="F38">
        <f t="shared" si="1"/>
        <v>22</v>
      </c>
      <c r="G38">
        <f t="shared" si="2"/>
        <v>2.1430000000691507E-2</v>
      </c>
      <c r="I38">
        <f t="shared" si="6"/>
        <v>2.1430000000691507E-2</v>
      </c>
      <c r="O38">
        <f t="shared" ca="1" si="4"/>
        <v>-5.931371079093176E-3</v>
      </c>
      <c r="Q38" s="2">
        <f t="shared" si="5"/>
        <v>19688.807000000001</v>
      </c>
    </row>
    <row r="39" spans="1:17" x14ac:dyDescent="0.2">
      <c r="A39" s="52" t="s">
        <v>60</v>
      </c>
      <c r="B39" s="53" t="s">
        <v>37</v>
      </c>
      <c r="C39" s="52">
        <v>34947.421999999999</v>
      </c>
      <c r="D39" s="52" t="s">
        <v>54</v>
      </c>
      <c r="E39">
        <f t="shared" si="0"/>
        <v>89.003567308000896</v>
      </c>
      <c r="F39">
        <f t="shared" si="1"/>
        <v>89</v>
      </c>
      <c r="G39">
        <f t="shared" si="2"/>
        <v>1.2784999998984858E-2</v>
      </c>
      <c r="I39">
        <f t="shared" si="6"/>
        <v>1.2784999998984858E-2</v>
      </c>
      <c r="O39">
        <f t="shared" ca="1" si="4"/>
        <v>-6.6839050378027978E-3</v>
      </c>
      <c r="Q39" s="2">
        <f t="shared" si="5"/>
        <v>19928.921999999999</v>
      </c>
    </row>
    <row r="40" spans="1:17" x14ac:dyDescent="0.2">
      <c r="A40" s="52" t="s">
        <v>60</v>
      </c>
      <c r="B40" s="53" t="s">
        <v>193</v>
      </c>
      <c r="C40" s="52">
        <v>34981.43</v>
      </c>
      <c r="D40" s="52" t="s">
        <v>54</v>
      </c>
      <c r="E40">
        <f t="shared" si="0"/>
        <v>98.492578687951038</v>
      </c>
      <c r="F40">
        <f t="shared" si="1"/>
        <v>98.5</v>
      </c>
      <c r="G40">
        <f t="shared" si="2"/>
        <v>-2.6597500000207219E-2</v>
      </c>
      <c r="I40">
        <f t="shared" si="6"/>
        <v>-2.6597500000207219E-2</v>
      </c>
      <c r="O40">
        <f t="shared" ca="1" si="4"/>
        <v>-6.7906076140377448E-3</v>
      </c>
      <c r="Q40" s="2">
        <f t="shared" si="5"/>
        <v>19962.93</v>
      </c>
    </row>
    <row r="41" spans="1:17" x14ac:dyDescent="0.2">
      <c r="A41" s="52" t="s">
        <v>60</v>
      </c>
      <c r="B41" s="53" t="s">
        <v>37</v>
      </c>
      <c r="C41" s="52">
        <v>35044.186000000002</v>
      </c>
      <c r="D41" s="52" t="s">
        <v>54</v>
      </c>
      <c r="E41">
        <f t="shared" si="0"/>
        <v>116.0029409015518</v>
      </c>
      <c r="F41">
        <f t="shared" si="1"/>
        <v>116</v>
      </c>
      <c r="G41">
        <f t="shared" si="2"/>
        <v>1.0540000002947636E-2</v>
      </c>
      <c r="I41">
        <f t="shared" si="6"/>
        <v>1.0540000002947636E-2</v>
      </c>
      <c r="O41">
        <f t="shared" ca="1" si="4"/>
        <v>-6.9871649913126463E-3</v>
      </c>
      <c r="Q41" s="2">
        <f t="shared" si="5"/>
        <v>20025.686000000002</v>
      </c>
    </row>
    <row r="42" spans="1:17" x14ac:dyDescent="0.2">
      <c r="A42" s="52" t="s">
        <v>60</v>
      </c>
      <c r="B42" s="53" t="s">
        <v>37</v>
      </c>
      <c r="C42" s="52">
        <v>35309.392</v>
      </c>
      <c r="D42" s="52" t="s">
        <v>54</v>
      </c>
      <c r="E42">
        <f t="shared" si="0"/>
        <v>190.00149277260925</v>
      </c>
      <c r="F42">
        <f t="shared" si="1"/>
        <v>190</v>
      </c>
      <c r="G42">
        <f t="shared" si="2"/>
        <v>5.349999999452848E-3</v>
      </c>
      <c r="I42">
        <f t="shared" si="6"/>
        <v>5.349999999452848E-3</v>
      </c>
      <c r="O42">
        <f t="shared" ca="1" si="4"/>
        <v>-7.8183219009322295E-3</v>
      </c>
      <c r="Q42" s="2">
        <f t="shared" si="5"/>
        <v>20290.892</v>
      </c>
    </row>
    <row r="43" spans="1:17" x14ac:dyDescent="0.2">
      <c r="A43" s="52" t="s">
        <v>60</v>
      </c>
      <c r="B43" s="53" t="s">
        <v>37</v>
      </c>
      <c r="C43" s="52">
        <v>35370.32</v>
      </c>
      <c r="D43" s="52" t="s">
        <v>54</v>
      </c>
      <c r="E43">
        <f t="shared" si="0"/>
        <v>207.00180109293311</v>
      </c>
      <c r="F43">
        <f t="shared" si="1"/>
        <v>207</v>
      </c>
      <c r="G43">
        <f t="shared" si="2"/>
        <v>6.4550000024610199E-3</v>
      </c>
      <c r="I43">
        <f t="shared" si="6"/>
        <v>6.4550000024610199E-3</v>
      </c>
      <c r="O43">
        <f t="shared" ca="1" si="4"/>
        <v>-8.0092633531421327E-3</v>
      </c>
      <c r="Q43" s="2">
        <f t="shared" si="5"/>
        <v>20351.82</v>
      </c>
    </row>
    <row r="44" spans="1:17" x14ac:dyDescent="0.2">
      <c r="A44" s="52" t="s">
        <v>60</v>
      </c>
      <c r="B44" s="53" t="s">
        <v>193</v>
      </c>
      <c r="C44" s="52">
        <v>36816.417000000001</v>
      </c>
      <c r="D44" s="52" t="s">
        <v>54</v>
      </c>
      <c r="E44">
        <f t="shared" si="0"/>
        <v>610.49600508937885</v>
      </c>
      <c r="F44">
        <f t="shared" si="1"/>
        <v>610.5</v>
      </c>
      <c r="G44">
        <f t="shared" si="2"/>
        <v>-1.4317499997559935E-2</v>
      </c>
      <c r="I44">
        <f t="shared" si="6"/>
        <v>-1.4317499997559935E-2</v>
      </c>
      <c r="O44">
        <f t="shared" ca="1" si="4"/>
        <v>-1.2541314880594859E-2</v>
      </c>
      <c r="Q44" s="2">
        <f t="shared" si="5"/>
        <v>21797.917000000001</v>
      </c>
    </row>
    <row r="45" spans="1:17" x14ac:dyDescent="0.2">
      <c r="A45" s="52" t="s">
        <v>60</v>
      </c>
      <c r="B45" s="53" t="s">
        <v>193</v>
      </c>
      <c r="C45" s="52">
        <v>36823.565000000002</v>
      </c>
      <c r="D45" s="52" t="s">
        <v>54</v>
      </c>
      <c r="E45">
        <f t="shared" si="0"/>
        <v>612.49046090400748</v>
      </c>
      <c r="F45">
        <f t="shared" si="1"/>
        <v>612.5</v>
      </c>
      <c r="G45">
        <f t="shared" si="2"/>
        <v>-3.4187499994004611E-2</v>
      </c>
      <c r="I45">
        <f t="shared" si="6"/>
        <v>-3.4187499994004611E-2</v>
      </c>
      <c r="O45">
        <f t="shared" ca="1" si="4"/>
        <v>-1.2563778580854848E-2</v>
      </c>
      <c r="Q45" s="2">
        <f t="shared" si="5"/>
        <v>21805.065000000002</v>
      </c>
    </row>
    <row r="46" spans="1:17" x14ac:dyDescent="0.2">
      <c r="A46" s="52" t="s">
        <v>60</v>
      </c>
      <c r="B46" s="53" t="s">
        <v>37</v>
      </c>
      <c r="C46" s="52">
        <v>36850.474999999999</v>
      </c>
      <c r="D46" s="52" t="s">
        <v>54</v>
      </c>
      <c r="E46">
        <f t="shared" si="0"/>
        <v>619.99896761520506</v>
      </c>
      <c r="F46">
        <f t="shared" si="1"/>
        <v>620</v>
      </c>
      <c r="G46">
        <f t="shared" si="2"/>
        <v>-3.7000000011175871E-3</v>
      </c>
      <c r="I46">
        <f t="shared" si="6"/>
        <v>-3.7000000011175871E-3</v>
      </c>
      <c r="O46">
        <f t="shared" ca="1" si="4"/>
        <v>-1.2648017456829806E-2</v>
      </c>
      <c r="Q46" s="2">
        <f t="shared" si="5"/>
        <v>21831.974999999999</v>
      </c>
    </row>
    <row r="47" spans="1:17" x14ac:dyDescent="0.2">
      <c r="A47" s="10" t="s">
        <v>29</v>
      </c>
      <c r="B47" s="11"/>
      <c r="C47" s="12">
        <v>53569.467700000001</v>
      </c>
      <c r="D47" s="12">
        <v>1.5E-3</v>
      </c>
      <c r="E47">
        <f t="shared" si="0"/>
        <v>5284.9810892217638</v>
      </c>
      <c r="F47">
        <f t="shared" si="1"/>
        <v>5285</v>
      </c>
      <c r="G47">
        <f t="shared" si="2"/>
        <v>-6.7774999995890539E-2</v>
      </c>
      <c r="J47">
        <f>+G47</f>
        <v>-6.7774999995890539E-2</v>
      </c>
      <c r="O47">
        <f t="shared" ca="1" si="4"/>
        <v>-6.5044598313253515E-2</v>
      </c>
      <c r="Q47" s="2">
        <f t="shared" si="5"/>
        <v>38550.967700000001</v>
      </c>
    </row>
    <row r="48" spans="1:17" x14ac:dyDescent="0.2">
      <c r="A48" s="10" t="s">
        <v>29</v>
      </c>
      <c r="B48" s="11"/>
      <c r="C48" s="12">
        <v>53578.4323</v>
      </c>
      <c r="D48" s="12">
        <v>1E-3</v>
      </c>
      <c r="E48">
        <f t="shared" si="0"/>
        <v>5287.4824180684091</v>
      </c>
      <c r="F48">
        <f t="shared" si="1"/>
        <v>5287.5</v>
      </c>
      <c r="G48">
        <f t="shared" si="2"/>
        <v>-6.3012500002514571E-2</v>
      </c>
      <c r="J48">
        <f>+G48</f>
        <v>-6.3012500002514571E-2</v>
      </c>
      <c r="O48">
        <f t="shared" ca="1" si="4"/>
        <v>-6.5072677938578502E-2</v>
      </c>
      <c r="Q48" s="2">
        <f t="shared" si="5"/>
        <v>38559.9323</v>
      </c>
    </row>
    <row r="49" spans="1:17" x14ac:dyDescent="0.2">
      <c r="A49" s="10" t="s">
        <v>29</v>
      </c>
      <c r="B49" s="11"/>
      <c r="C49" s="12">
        <v>53612.4781</v>
      </c>
      <c r="D49" s="12">
        <v>1.6999999999999999E-3</v>
      </c>
      <c r="E49">
        <f t="shared" si="0"/>
        <v>5296.9819765146422</v>
      </c>
      <c r="F49">
        <f t="shared" si="1"/>
        <v>5297</v>
      </c>
      <c r="G49">
        <f t="shared" si="2"/>
        <v>-6.4594999996188562E-2</v>
      </c>
      <c r="J49">
        <f>+G49</f>
        <v>-6.4594999996188562E-2</v>
      </c>
      <c r="O49">
        <f t="shared" ca="1" si="4"/>
        <v>-6.5179380514813451E-2</v>
      </c>
      <c r="Q49" s="2">
        <f t="shared" si="5"/>
        <v>38593.9781</v>
      </c>
    </row>
    <row r="50" spans="1:17" x14ac:dyDescent="0.2">
      <c r="A50" s="10" t="s">
        <v>29</v>
      </c>
      <c r="B50" s="11"/>
      <c r="C50" s="12">
        <v>53621.437700000002</v>
      </c>
      <c r="D50" s="12">
        <v>2E-3</v>
      </c>
      <c r="E50">
        <f t="shared" si="0"/>
        <v>5299.481910246699</v>
      </c>
      <c r="F50">
        <f t="shared" si="1"/>
        <v>5299.5</v>
      </c>
      <c r="G50">
        <f t="shared" si="2"/>
        <v>-6.4832500000193249E-2</v>
      </c>
      <c r="J50">
        <f>+G50</f>
        <v>-6.4832500000193249E-2</v>
      </c>
      <c r="O50">
        <f t="shared" ca="1" si="4"/>
        <v>-6.5207460140138437E-2</v>
      </c>
      <c r="Q50" s="2">
        <f t="shared" si="5"/>
        <v>38602.937700000002</v>
      </c>
    </row>
    <row r="51" spans="1:17" x14ac:dyDescent="0.2">
      <c r="A51" s="10" t="s">
        <v>36</v>
      </c>
      <c r="B51" s="27" t="s">
        <v>37</v>
      </c>
      <c r="C51" s="14">
        <v>53992.371899999998</v>
      </c>
      <c r="D51" s="14">
        <v>8.0000000000000004E-4</v>
      </c>
      <c r="E51">
        <f t="shared" si="0"/>
        <v>5402.9810529487841</v>
      </c>
      <c r="F51">
        <f t="shared" si="1"/>
        <v>5403</v>
      </c>
      <c r="G51">
        <f t="shared" si="2"/>
        <v>-6.7905000003520399E-2</v>
      </c>
      <c r="J51">
        <f>+G51</f>
        <v>-6.7905000003520399E-2</v>
      </c>
      <c r="O51">
        <f t="shared" ca="1" si="4"/>
        <v>-6.6369956628592852E-2</v>
      </c>
      <c r="Q51" s="2">
        <f t="shared" si="5"/>
        <v>38973.871899999998</v>
      </c>
    </row>
    <row r="52" spans="1:17" x14ac:dyDescent="0.2">
      <c r="A52" s="52" t="s">
        <v>160</v>
      </c>
      <c r="B52" s="53" t="s">
        <v>37</v>
      </c>
      <c r="C52" s="52">
        <v>55060.382400000002</v>
      </c>
      <c r="D52" s="52" t="s">
        <v>54</v>
      </c>
      <c r="E52">
        <f t="shared" si="0"/>
        <v>5700.9804586299706</v>
      </c>
      <c r="F52">
        <f t="shared" si="1"/>
        <v>5701</v>
      </c>
      <c r="G52">
        <f t="shared" si="2"/>
        <v>-7.0034999997005798E-2</v>
      </c>
      <c r="K52">
        <f>+G52</f>
        <v>-7.0034999997005798E-2</v>
      </c>
      <c r="O52">
        <f t="shared" ca="1" si="4"/>
        <v>-6.9717047967331178E-2</v>
      </c>
      <c r="Q52" s="2">
        <f t="shared" si="5"/>
        <v>40041.882400000002</v>
      </c>
    </row>
    <row r="53" spans="1:17" x14ac:dyDescent="0.2">
      <c r="A53" s="33" t="s">
        <v>41</v>
      </c>
      <c r="B53" s="34" t="s">
        <v>37</v>
      </c>
      <c r="C53" s="33">
        <v>55085.461499999998</v>
      </c>
      <c r="D53" s="33">
        <v>2.8999999999999998E-3</v>
      </c>
      <c r="E53">
        <f t="shared" si="0"/>
        <v>5707.9781022814304</v>
      </c>
      <c r="F53">
        <f t="shared" si="1"/>
        <v>5708</v>
      </c>
      <c r="G53">
        <f t="shared" si="2"/>
        <v>-7.8480000003764872E-2</v>
      </c>
      <c r="J53">
        <f>+G53</f>
        <v>-7.8480000003764872E-2</v>
      </c>
      <c r="O53">
        <f t="shared" ca="1" si="4"/>
        <v>-6.979567091824114E-2</v>
      </c>
      <c r="Q53" s="2">
        <f t="shared" si="5"/>
        <v>40066.961499999998</v>
      </c>
    </row>
    <row r="54" spans="1:17" x14ac:dyDescent="0.2">
      <c r="A54" s="52" t="s">
        <v>160</v>
      </c>
      <c r="B54" s="53" t="s">
        <v>37</v>
      </c>
      <c r="C54" s="52">
        <v>55103.3897</v>
      </c>
      <c r="D54" s="52" t="s">
        <v>54</v>
      </c>
      <c r="E54">
        <f t="shared" si="0"/>
        <v>5712.9804809518037</v>
      </c>
      <c r="F54">
        <f t="shared" si="1"/>
        <v>5713</v>
      </c>
      <c r="G54">
        <f t="shared" si="2"/>
        <v>-6.9954999999026768E-2</v>
      </c>
      <c r="K54">
        <f>+G54</f>
        <v>-6.9954999999026768E-2</v>
      </c>
      <c r="O54">
        <f t="shared" ca="1" si="4"/>
        <v>-6.9851830168891099E-2</v>
      </c>
      <c r="Q54" s="2">
        <f t="shared" si="5"/>
        <v>40084.8897</v>
      </c>
    </row>
    <row r="55" spans="1:17" x14ac:dyDescent="0.2">
      <c r="A55" s="33" t="s">
        <v>41</v>
      </c>
      <c r="B55" s="34" t="s">
        <v>37</v>
      </c>
      <c r="C55" s="33">
        <v>55386.516900000002</v>
      </c>
      <c r="D55" s="33">
        <v>2.3E-3</v>
      </c>
      <c r="E55">
        <f t="shared" si="0"/>
        <v>5791.9794583328112</v>
      </c>
      <c r="F55">
        <f t="shared" si="1"/>
        <v>5792</v>
      </c>
      <c r="G55">
        <f t="shared" si="2"/>
        <v>-7.3619999995571561E-2</v>
      </c>
      <c r="J55">
        <f>+G55</f>
        <v>-7.3619999995571561E-2</v>
      </c>
      <c r="O55">
        <f t="shared" ca="1" si="4"/>
        <v>-7.073914632916066E-2</v>
      </c>
      <c r="Q55" s="2">
        <f t="shared" si="5"/>
        <v>40368.016900000002</v>
      </c>
    </row>
    <row r="56" spans="1:17" x14ac:dyDescent="0.2">
      <c r="A56" s="35" t="s">
        <v>42</v>
      </c>
      <c r="B56" s="35"/>
      <c r="C56" s="36">
        <v>55429.526299999998</v>
      </c>
      <c r="D56" s="36">
        <v>2.3999999999999998E-3</v>
      </c>
      <c r="E56">
        <f t="shared" si="0"/>
        <v>5803.9800666027704</v>
      </c>
      <c r="F56">
        <f t="shared" si="1"/>
        <v>5804</v>
      </c>
      <c r="G56">
        <f t="shared" si="2"/>
        <v>-7.143999999971129E-2</v>
      </c>
      <c r="J56">
        <f>+G56</f>
        <v>-7.143999999971129E-2</v>
      </c>
      <c r="O56">
        <f t="shared" ca="1" si="4"/>
        <v>-7.0873928530720595E-2</v>
      </c>
      <c r="Q56" s="2">
        <f t="shared" si="5"/>
        <v>40411.026299999998</v>
      </c>
    </row>
    <row r="57" spans="1:17" x14ac:dyDescent="0.2">
      <c r="A57" s="52" t="s">
        <v>184</v>
      </c>
      <c r="B57" s="53" t="s">
        <v>37</v>
      </c>
      <c r="C57" s="52">
        <v>55791.503100000002</v>
      </c>
      <c r="D57" s="52" t="s">
        <v>54</v>
      </c>
      <c r="E57">
        <f t="shared" si="0"/>
        <v>5904.979889423219</v>
      </c>
      <c r="F57">
        <f t="shared" si="1"/>
        <v>5905</v>
      </c>
      <c r="G57">
        <f t="shared" si="2"/>
        <v>-7.2074999996402767E-2</v>
      </c>
      <c r="K57">
        <f>+G57</f>
        <v>-7.2074999996402767E-2</v>
      </c>
      <c r="O57">
        <f t="shared" ca="1" si="4"/>
        <v>-7.2008345393850023E-2</v>
      </c>
      <c r="Q57" s="2">
        <f t="shared" si="5"/>
        <v>40773.003100000002</v>
      </c>
    </row>
    <row r="58" spans="1:17" x14ac:dyDescent="0.2">
      <c r="A58" s="37" t="s">
        <v>43</v>
      </c>
      <c r="B58" s="38"/>
      <c r="C58" s="37">
        <v>56929.402499999997</v>
      </c>
      <c r="D58" s="37">
        <v>5.7000000000000002E-3</v>
      </c>
      <c r="E58">
        <f t="shared" si="0"/>
        <v>6222.4798998865772</v>
      </c>
      <c r="F58">
        <f t="shared" si="1"/>
        <v>6222.5</v>
      </c>
      <c r="G58">
        <f t="shared" si="2"/>
        <v>-7.203750000189757E-2</v>
      </c>
      <c r="J58">
        <f>+G58</f>
        <v>-7.203750000189757E-2</v>
      </c>
      <c r="O58">
        <f t="shared" ca="1" si="4"/>
        <v>-7.557445781012323E-2</v>
      </c>
      <c r="Q58" s="2">
        <f t="shared" si="5"/>
        <v>41910.902499999997</v>
      </c>
    </row>
    <row r="59" spans="1:17" x14ac:dyDescent="0.2">
      <c r="A59" s="37" t="s">
        <v>43</v>
      </c>
      <c r="B59" s="38"/>
      <c r="C59" s="37">
        <v>56929.4038</v>
      </c>
      <c r="D59" s="37">
        <v>6.1999999999999998E-3</v>
      </c>
      <c r="E59">
        <f t="shared" si="0"/>
        <v>6222.480262616371</v>
      </c>
      <c r="F59">
        <f t="shared" si="1"/>
        <v>6222.5</v>
      </c>
      <c r="G59">
        <f t="shared" si="2"/>
        <v>-7.0737499998358544E-2</v>
      </c>
      <c r="J59">
        <f>+G59</f>
        <v>-7.0737499998358544E-2</v>
      </c>
      <c r="O59">
        <f t="shared" ca="1" si="4"/>
        <v>-7.557445781012323E-2</v>
      </c>
      <c r="Q59" s="2">
        <f t="shared" si="5"/>
        <v>41910.9038</v>
      </c>
    </row>
    <row r="60" spans="1:17" x14ac:dyDescent="0.2">
      <c r="B60" s="3"/>
    </row>
    <row r="61" spans="1:17" x14ac:dyDescent="0.2">
      <c r="B61" s="3"/>
    </row>
    <row r="62" spans="1:17" x14ac:dyDescent="0.2">
      <c r="B62" s="3"/>
    </row>
    <row r="63" spans="1:17" x14ac:dyDescent="0.2">
      <c r="B63" s="3"/>
    </row>
    <row r="64" spans="1:17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  <row r="101" spans="2:2" x14ac:dyDescent="0.2">
      <c r="B101" s="3"/>
    </row>
    <row r="102" spans="2:2" x14ac:dyDescent="0.2">
      <c r="B102" s="3"/>
    </row>
    <row r="103" spans="2:2" x14ac:dyDescent="0.2">
      <c r="B103" s="3"/>
    </row>
    <row r="104" spans="2:2" x14ac:dyDescent="0.2">
      <c r="B104" s="3"/>
    </row>
    <row r="105" spans="2:2" x14ac:dyDescent="0.2">
      <c r="B105" s="3"/>
    </row>
    <row r="106" spans="2:2" x14ac:dyDescent="0.2">
      <c r="B106" s="3"/>
    </row>
    <row r="107" spans="2:2" x14ac:dyDescent="0.2">
      <c r="B107" s="3"/>
    </row>
    <row r="108" spans="2:2" x14ac:dyDescent="0.2">
      <c r="B108" s="3"/>
    </row>
    <row r="109" spans="2:2" x14ac:dyDescent="0.2">
      <c r="B109" s="3"/>
    </row>
    <row r="110" spans="2:2" x14ac:dyDescent="0.2">
      <c r="B110" s="3"/>
    </row>
    <row r="111" spans="2:2" x14ac:dyDescent="0.2">
      <c r="B111" s="3"/>
    </row>
    <row r="112" spans="2:2" x14ac:dyDescent="0.2">
      <c r="B112" s="3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  <row r="119" spans="2:2" x14ac:dyDescent="0.2">
      <c r="B119" s="3"/>
    </row>
    <row r="120" spans="2:2" x14ac:dyDescent="0.2">
      <c r="B120" s="3"/>
    </row>
    <row r="121" spans="2:2" x14ac:dyDescent="0.2">
      <c r="B121" s="3"/>
    </row>
    <row r="122" spans="2:2" x14ac:dyDescent="0.2">
      <c r="B122" s="3"/>
    </row>
    <row r="123" spans="2:2" x14ac:dyDescent="0.2">
      <c r="B123" s="3"/>
    </row>
    <row r="124" spans="2:2" x14ac:dyDescent="0.2">
      <c r="B124" s="3"/>
    </row>
    <row r="125" spans="2:2" x14ac:dyDescent="0.2">
      <c r="B125" s="3"/>
    </row>
    <row r="126" spans="2:2" x14ac:dyDescent="0.2">
      <c r="B126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5"/>
  <sheetViews>
    <sheetView topLeftCell="A2" workbookViewId="0">
      <selection activeCell="A21" sqref="A21:D48"/>
    </sheetView>
  </sheetViews>
  <sheetFormatPr defaultRowHeight="12.75" x14ac:dyDescent="0.2"/>
  <cols>
    <col min="1" max="1" width="19.7109375" style="14" customWidth="1"/>
    <col min="2" max="2" width="4.42578125" style="16" customWidth="1"/>
    <col min="3" max="3" width="12.7109375" style="1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39" t="s">
        <v>44</v>
      </c>
      <c r="I1" s="40" t="s">
        <v>45</v>
      </c>
      <c r="J1" s="41" t="s">
        <v>46</v>
      </c>
    </row>
    <row r="2" spans="1:16" x14ac:dyDescent="0.2">
      <c r="I2" s="42" t="s">
        <v>47</v>
      </c>
      <c r="J2" s="43" t="s">
        <v>48</v>
      </c>
    </row>
    <row r="3" spans="1:16" x14ac:dyDescent="0.2">
      <c r="A3" s="44" t="s">
        <v>49</v>
      </c>
      <c r="I3" s="42" t="s">
        <v>50</v>
      </c>
      <c r="J3" s="43" t="s">
        <v>51</v>
      </c>
    </row>
    <row r="4" spans="1:16" x14ac:dyDescent="0.2">
      <c r="I4" s="42" t="s">
        <v>52</v>
      </c>
      <c r="J4" s="43" t="s">
        <v>51</v>
      </c>
    </row>
    <row r="5" spans="1:16" ht="13.5" thickBot="1" x14ac:dyDescent="0.25">
      <c r="I5" s="45" t="s">
        <v>53</v>
      </c>
      <c r="J5" s="46" t="s">
        <v>54</v>
      </c>
    </row>
    <row r="10" spans="1:16" ht="13.5" thickBot="1" x14ac:dyDescent="0.25"/>
    <row r="11" spans="1:16" ht="12.75" customHeight="1" thickBot="1" x14ac:dyDescent="0.25">
      <c r="A11" s="14" t="str">
        <f t="shared" ref="A11:A48" si="0">P11</f>
        <v>BAVM 178 </v>
      </c>
      <c r="B11" s="3" t="str">
        <f t="shared" ref="B11:B48" si="1">IF(H11=INT(H11),"I","II")</f>
        <v>I</v>
      </c>
      <c r="C11" s="14">
        <f t="shared" ref="C11:C48" si="2">1*G11</f>
        <v>53569.467700000001</v>
      </c>
      <c r="D11" s="16" t="str">
        <f t="shared" ref="D11:D48" si="3">VLOOKUP(F11,I$1:J$5,2,FALSE)</f>
        <v>vis</v>
      </c>
      <c r="E11" s="47">
        <f>VLOOKUP(C11,Active!C$21:E$973,3,FALSE)</f>
        <v>5284.9810892217638</v>
      </c>
      <c r="F11" s="3" t="s">
        <v>53</v>
      </c>
      <c r="G11" s="16" t="str">
        <f t="shared" ref="G11:G48" si="4">MID(I11,3,LEN(I11)-3)</f>
        <v>53569.4677</v>
      </c>
      <c r="H11" s="14">
        <f t="shared" ref="H11:H48" si="5">1*K11</f>
        <v>5285</v>
      </c>
      <c r="I11" s="48" t="s">
        <v>130</v>
      </c>
      <c r="J11" s="49" t="s">
        <v>131</v>
      </c>
      <c r="K11" s="48">
        <v>5285</v>
      </c>
      <c r="L11" s="48" t="s">
        <v>132</v>
      </c>
      <c r="M11" s="49" t="s">
        <v>133</v>
      </c>
      <c r="N11" s="49" t="s">
        <v>134</v>
      </c>
      <c r="O11" s="50" t="s">
        <v>135</v>
      </c>
      <c r="P11" s="51" t="s">
        <v>136</v>
      </c>
    </row>
    <row r="12" spans="1:16" ht="12.75" customHeight="1" thickBot="1" x14ac:dyDescent="0.25">
      <c r="A12" s="14" t="str">
        <f t="shared" si="0"/>
        <v>BAVM 178 </v>
      </c>
      <c r="B12" s="3" t="str">
        <f t="shared" si="1"/>
        <v>II</v>
      </c>
      <c r="C12" s="14">
        <f t="shared" si="2"/>
        <v>53578.4323</v>
      </c>
      <c r="D12" s="16" t="str">
        <f t="shared" si="3"/>
        <v>vis</v>
      </c>
      <c r="E12" s="47">
        <f>VLOOKUP(C12,Active!C$21:E$973,3,FALSE)</f>
        <v>5287.4824180684091</v>
      </c>
      <c r="F12" s="3" t="s">
        <v>53</v>
      </c>
      <c r="G12" s="16" t="str">
        <f t="shared" si="4"/>
        <v>53578.4323</v>
      </c>
      <c r="H12" s="14">
        <f t="shared" si="5"/>
        <v>5287.5</v>
      </c>
      <c r="I12" s="48" t="s">
        <v>137</v>
      </c>
      <c r="J12" s="49" t="s">
        <v>138</v>
      </c>
      <c r="K12" s="48" t="s">
        <v>139</v>
      </c>
      <c r="L12" s="48" t="s">
        <v>140</v>
      </c>
      <c r="M12" s="49" t="s">
        <v>133</v>
      </c>
      <c r="N12" s="49" t="s">
        <v>134</v>
      </c>
      <c r="O12" s="50" t="s">
        <v>135</v>
      </c>
      <c r="P12" s="51" t="s">
        <v>136</v>
      </c>
    </row>
    <row r="13" spans="1:16" ht="12.75" customHeight="1" thickBot="1" x14ac:dyDescent="0.25">
      <c r="A13" s="14" t="str">
        <f t="shared" si="0"/>
        <v>BAVM 178 </v>
      </c>
      <c r="B13" s="3" t="str">
        <f t="shared" si="1"/>
        <v>I</v>
      </c>
      <c r="C13" s="14">
        <f t="shared" si="2"/>
        <v>53612.4781</v>
      </c>
      <c r="D13" s="16" t="str">
        <f t="shared" si="3"/>
        <v>vis</v>
      </c>
      <c r="E13" s="47">
        <f>VLOOKUP(C13,Active!C$21:E$973,3,FALSE)</f>
        <v>5296.9819765146422</v>
      </c>
      <c r="F13" s="3" t="s">
        <v>53</v>
      </c>
      <c r="G13" s="16" t="str">
        <f t="shared" si="4"/>
        <v>53612.4781</v>
      </c>
      <c r="H13" s="14">
        <f t="shared" si="5"/>
        <v>5297</v>
      </c>
      <c r="I13" s="48" t="s">
        <v>141</v>
      </c>
      <c r="J13" s="49" t="s">
        <v>142</v>
      </c>
      <c r="K13" s="48" t="s">
        <v>143</v>
      </c>
      <c r="L13" s="48" t="s">
        <v>144</v>
      </c>
      <c r="M13" s="49" t="s">
        <v>133</v>
      </c>
      <c r="N13" s="49" t="s">
        <v>134</v>
      </c>
      <c r="O13" s="50" t="s">
        <v>135</v>
      </c>
      <c r="P13" s="51" t="s">
        <v>136</v>
      </c>
    </row>
    <row r="14" spans="1:16" ht="12.75" customHeight="1" thickBot="1" x14ac:dyDescent="0.25">
      <c r="A14" s="14" t="str">
        <f t="shared" si="0"/>
        <v>BAVM 178 </v>
      </c>
      <c r="B14" s="3" t="str">
        <f t="shared" si="1"/>
        <v>II</v>
      </c>
      <c r="C14" s="14">
        <f t="shared" si="2"/>
        <v>53621.437700000002</v>
      </c>
      <c r="D14" s="16" t="str">
        <f t="shared" si="3"/>
        <v>vis</v>
      </c>
      <c r="E14" s="47">
        <f>VLOOKUP(C14,Active!C$21:E$973,3,FALSE)</f>
        <v>5299.481910246699</v>
      </c>
      <c r="F14" s="3" t="s">
        <v>53</v>
      </c>
      <c r="G14" s="16" t="str">
        <f t="shared" si="4"/>
        <v>53621.4377</v>
      </c>
      <c r="H14" s="14">
        <f t="shared" si="5"/>
        <v>5299.5</v>
      </c>
      <c r="I14" s="48" t="s">
        <v>145</v>
      </c>
      <c r="J14" s="49" t="s">
        <v>146</v>
      </c>
      <c r="K14" s="48" t="s">
        <v>147</v>
      </c>
      <c r="L14" s="48" t="s">
        <v>148</v>
      </c>
      <c r="M14" s="49" t="s">
        <v>133</v>
      </c>
      <c r="N14" s="49" t="s">
        <v>134</v>
      </c>
      <c r="O14" s="50" t="s">
        <v>135</v>
      </c>
      <c r="P14" s="51" t="s">
        <v>136</v>
      </c>
    </row>
    <row r="15" spans="1:16" ht="12.75" customHeight="1" thickBot="1" x14ac:dyDescent="0.25">
      <c r="A15" s="14" t="str">
        <f t="shared" si="0"/>
        <v>BAVM 183 </v>
      </c>
      <c r="B15" s="3" t="str">
        <f t="shared" si="1"/>
        <v>I</v>
      </c>
      <c r="C15" s="14">
        <f t="shared" si="2"/>
        <v>53992.371899999998</v>
      </c>
      <c r="D15" s="16" t="str">
        <f t="shared" si="3"/>
        <v>vis</v>
      </c>
      <c r="E15" s="47">
        <f>VLOOKUP(C15,Active!C$21:E$973,3,FALSE)</f>
        <v>5402.9810529487841</v>
      </c>
      <c r="F15" s="3" t="s">
        <v>53</v>
      </c>
      <c r="G15" s="16" t="str">
        <f t="shared" si="4"/>
        <v>53992.3719</v>
      </c>
      <c r="H15" s="14">
        <f t="shared" si="5"/>
        <v>5403</v>
      </c>
      <c r="I15" s="48" t="s">
        <v>149</v>
      </c>
      <c r="J15" s="49" t="s">
        <v>150</v>
      </c>
      <c r="K15" s="48" t="s">
        <v>151</v>
      </c>
      <c r="L15" s="48" t="s">
        <v>152</v>
      </c>
      <c r="M15" s="49" t="s">
        <v>133</v>
      </c>
      <c r="N15" s="49" t="s">
        <v>134</v>
      </c>
      <c r="O15" s="50" t="s">
        <v>153</v>
      </c>
      <c r="P15" s="51" t="s">
        <v>154</v>
      </c>
    </row>
    <row r="16" spans="1:16" ht="12.75" customHeight="1" thickBot="1" x14ac:dyDescent="0.25">
      <c r="A16" s="14" t="str">
        <f t="shared" si="0"/>
        <v>BAVM 214 </v>
      </c>
      <c r="B16" s="3" t="str">
        <f t="shared" si="1"/>
        <v>I</v>
      </c>
      <c r="C16" s="14">
        <f t="shared" si="2"/>
        <v>55085.461499999998</v>
      </c>
      <c r="D16" s="16" t="str">
        <f t="shared" si="3"/>
        <v>vis</v>
      </c>
      <c r="E16" s="47">
        <f>VLOOKUP(C16,Active!C$21:E$973,3,FALSE)</f>
        <v>5707.9781022814304</v>
      </c>
      <c r="F16" s="3" t="s">
        <v>53</v>
      </c>
      <c r="G16" s="16" t="str">
        <f t="shared" si="4"/>
        <v>55085.4615</v>
      </c>
      <c r="H16" s="14">
        <f t="shared" si="5"/>
        <v>5708</v>
      </c>
      <c r="I16" s="48" t="s">
        <v>161</v>
      </c>
      <c r="J16" s="49" t="s">
        <v>162</v>
      </c>
      <c r="K16" s="48" t="s">
        <v>163</v>
      </c>
      <c r="L16" s="48" t="s">
        <v>164</v>
      </c>
      <c r="M16" s="49" t="s">
        <v>133</v>
      </c>
      <c r="N16" s="49" t="s">
        <v>165</v>
      </c>
      <c r="O16" s="50" t="s">
        <v>166</v>
      </c>
      <c r="P16" s="51" t="s">
        <v>167</v>
      </c>
    </row>
    <row r="17" spans="1:16" ht="12.75" customHeight="1" thickBot="1" x14ac:dyDescent="0.25">
      <c r="A17" s="14" t="str">
        <f t="shared" si="0"/>
        <v>BAVM 214 </v>
      </c>
      <c r="B17" s="3" t="str">
        <f t="shared" si="1"/>
        <v>I</v>
      </c>
      <c r="C17" s="14">
        <f t="shared" si="2"/>
        <v>55386.516900000002</v>
      </c>
      <c r="D17" s="16" t="str">
        <f t="shared" si="3"/>
        <v>vis</v>
      </c>
      <c r="E17" s="47">
        <f>VLOOKUP(C17,Active!C$21:E$973,3,FALSE)</f>
        <v>5791.9794583328112</v>
      </c>
      <c r="F17" s="3" t="s">
        <v>53</v>
      </c>
      <c r="G17" s="16" t="str">
        <f t="shared" si="4"/>
        <v>55386.5169</v>
      </c>
      <c r="H17" s="14">
        <f t="shared" si="5"/>
        <v>5792</v>
      </c>
      <c r="I17" s="48" t="s">
        <v>171</v>
      </c>
      <c r="J17" s="49" t="s">
        <v>172</v>
      </c>
      <c r="K17" s="48" t="s">
        <v>173</v>
      </c>
      <c r="L17" s="48" t="s">
        <v>174</v>
      </c>
      <c r="M17" s="49" t="s">
        <v>133</v>
      </c>
      <c r="N17" s="49" t="s">
        <v>165</v>
      </c>
      <c r="O17" s="50" t="s">
        <v>166</v>
      </c>
      <c r="P17" s="51" t="s">
        <v>167</v>
      </c>
    </row>
    <row r="18" spans="1:16" ht="12.75" customHeight="1" thickBot="1" x14ac:dyDescent="0.25">
      <c r="A18" s="14" t="str">
        <f t="shared" si="0"/>
        <v>BAVM 215 </v>
      </c>
      <c r="B18" s="3" t="str">
        <f t="shared" si="1"/>
        <v>I</v>
      </c>
      <c r="C18" s="14">
        <f t="shared" si="2"/>
        <v>55429.526299999998</v>
      </c>
      <c r="D18" s="16" t="str">
        <f t="shared" si="3"/>
        <v>vis</v>
      </c>
      <c r="E18" s="47">
        <f>VLOOKUP(C18,Active!C$21:E$973,3,FALSE)</f>
        <v>5803.9800666027704</v>
      </c>
      <c r="F18" s="3" t="s">
        <v>53</v>
      </c>
      <c r="G18" s="16" t="str">
        <f t="shared" si="4"/>
        <v>55429.5263</v>
      </c>
      <c r="H18" s="14">
        <f t="shared" si="5"/>
        <v>5804</v>
      </c>
      <c r="I18" s="48" t="s">
        <v>175</v>
      </c>
      <c r="J18" s="49" t="s">
        <v>176</v>
      </c>
      <c r="K18" s="48" t="s">
        <v>177</v>
      </c>
      <c r="L18" s="48" t="s">
        <v>178</v>
      </c>
      <c r="M18" s="49" t="s">
        <v>133</v>
      </c>
      <c r="N18" s="49" t="s">
        <v>134</v>
      </c>
      <c r="O18" s="50" t="s">
        <v>159</v>
      </c>
      <c r="P18" s="51" t="s">
        <v>179</v>
      </c>
    </row>
    <row r="19" spans="1:16" ht="12.75" customHeight="1" thickBot="1" x14ac:dyDescent="0.25">
      <c r="A19" s="14" t="str">
        <f t="shared" si="0"/>
        <v>BAVM 239 </v>
      </c>
      <c r="B19" s="3" t="str">
        <f t="shared" si="1"/>
        <v>II</v>
      </c>
      <c r="C19" s="14">
        <f t="shared" si="2"/>
        <v>56929.402499999997</v>
      </c>
      <c r="D19" s="16" t="str">
        <f t="shared" si="3"/>
        <v>vis</v>
      </c>
      <c r="E19" s="47">
        <f>VLOOKUP(C19,Active!C$21:E$973,3,FALSE)</f>
        <v>6222.4798998865772</v>
      </c>
      <c r="F19" s="3" t="s">
        <v>53</v>
      </c>
      <c r="G19" s="16" t="str">
        <f t="shared" si="4"/>
        <v>56929.4025</v>
      </c>
      <c r="H19" s="14">
        <f t="shared" si="5"/>
        <v>6222.5</v>
      </c>
      <c r="I19" s="48" t="s">
        <v>185</v>
      </c>
      <c r="J19" s="49" t="s">
        <v>186</v>
      </c>
      <c r="K19" s="48" t="s">
        <v>187</v>
      </c>
      <c r="L19" s="48" t="s">
        <v>188</v>
      </c>
      <c r="M19" s="49" t="s">
        <v>133</v>
      </c>
      <c r="N19" s="49" t="s">
        <v>134</v>
      </c>
      <c r="O19" s="50" t="s">
        <v>159</v>
      </c>
      <c r="P19" s="51" t="s">
        <v>189</v>
      </c>
    </row>
    <row r="20" spans="1:16" ht="12.75" customHeight="1" thickBot="1" x14ac:dyDescent="0.25">
      <c r="A20" s="14" t="str">
        <f t="shared" si="0"/>
        <v>BAVM 239 </v>
      </c>
      <c r="B20" s="3" t="str">
        <f t="shared" si="1"/>
        <v>II</v>
      </c>
      <c r="C20" s="14">
        <f t="shared" si="2"/>
        <v>56929.4038</v>
      </c>
      <c r="D20" s="16" t="str">
        <f t="shared" si="3"/>
        <v>vis</v>
      </c>
      <c r="E20" s="47">
        <f>VLOOKUP(C20,Active!C$21:E$973,3,FALSE)</f>
        <v>6222.480262616371</v>
      </c>
      <c r="F20" s="3" t="s">
        <v>53</v>
      </c>
      <c r="G20" s="16" t="str">
        <f t="shared" si="4"/>
        <v>56929.4038</v>
      </c>
      <c r="H20" s="14">
        <f t="shared" si="5"/>
        <v>6222.5</v>
      </c>
      <c r="I20" s="48" t="s">
        <v>190</v>
      </c>
      <c r="J20" s="49" t="s">
        <v>191</v>
      </c>
      <c r="K20" s="48" t="s">
        <v>187</v>
      </c>
      <c r="L20" s="48" t="s">
        <v>192</v>
      </c>
      <c r="M20" s="49" t="s">
        <v>133</v>
      </c>
      <c r="N20" s="49" t="s">
        <v>134</v>
      </c>
      <c r="O20" s="50" t="s">
        <v>159</v>
      </c>
      <c r="P20" s="51" t="s">
        <v>189</v>
      </c>
    </row>
    <row r="21" spans="1:16" ht="12.75" customHeight="1" thickBot="1" x14ac:dyDescent="0.25">
      <c r="A21" s="14" t="str">
        <f t="shared" si="0"/>
        <v> AHSB 6.1.75 </v>
      </c>
      <c r="B21" s="3" t="str">
        <f t="shared" si="1"/>
        <v>I</v>
      </c>
      <c r="C21" s="14">
        <f t="shared" si="2"/>
        <v>32768.36</v>
      </c>
      <c r="D21" s="16" t="str">
        <f t="shared" si="3"/>
        <v>vis</v>
      </c>
      <c r="E21" s="47">
        <f>VLOOKUP(C21,Active!C$21:E$973,3,FALSE)</f>
        <v>-519.00466944852462</v>
      </c>
      <c r="F21" s="3" t="s">
        <v>53</v>
      </c>
      <c r="G21" s="16" t="str">
        <f t="shared" si="4"/>
        <v>32768.360</v>
      </c>
      <c r="H21" s="14">
        <f t="shared" si="5"/>
        <v>-519</v>
      </c>
      <c r="I21" s="48" t="s">
        <v>55</v>
      </c>
      <c r="J21" s="49" t="s">
        <v>56</v>
      </c>
      <c r="K21" s="48">
        <v>-519</v>
      </c>
      <c r="L21" s="48" t="s">
        <v>57</v>
      </c>
      <c r="M21" s="49" t="s">
        <v>58</v>
      </c>
      <c r="N21" s="49"/>
      <c r="O21" s="50" t="s">
        <v>59</v>
      </c>
      <c r="P21" s="50" t="s">
        <v>60</v>
      </c>
    </row>
    <row r="22" spans="1:16" ht="12.75" customHeight="1" thickBot="1" x14ac:dyDescent="0.25">
      <c r="A22" s="14" t="str">
        <f t="shared" si="0"/>
        <v> AHSB 6.1.75 </v>
      </c>
      <c r="B22" s="3" t="str">
        <f t="shared" si="1"/>
        <v>I</v>
      </c>
      <c r="C22" s="14">
        <f t="shared" si="2"/>
        <v>32775.519999999997</v>
      </c>
      <c r="D22" s="16" t="str">
        <f t="shared" si="3"/>
        <v>vis</v>
      </c>
      <c r="E22" s="47">
        <f>VLOOKUP(C22,Active!C$21:E$973,3,FALSE)</f>
        <v>-517.00686535888678</v>
      </c>
      <c r="F22" s="3" t="s">
        <v>53</v>
      </c>
      <c r="G22" s="16" t="str">
        <f t="shared" si="4"/>
        <v>32775.520</v>
      </c>
      <c r="H22" s="14">
        <f t="shared" si="5"/>
        <v>-517</v>
      </c>
      <c r="I22" s="48" t="s">
        <v>61</v>
      </c>
      <c r="J22" s="49" t="s">
        <v>62</v>
      </c>
      <c r="K22" s="48">
        <v>-517</v>
      </c>
      <c r="L22" s="48" t="s">
        <v>63</v>
      </c>
      <c r="M22" s="49" t="s">
        <v>58</v>
      </c>
      <c r="N22" s="49"/>
      <c r="O22" s="50" t="s">
        <v>59</v>
      </c>
      <c r="P22" s="50" t="s">
        <v>60</v>
      </c>
    </row>
    <row r="23" spans="1:16" ht="12.75" customHeight="1" thickBot="1" x14ac:dyDescent="0.25">
      <c r="A23" s="14" t="str">
        <f t="shared" si="0"/>
        <v> AHSB 6.1.75 </v>
      </c>
      <c r="B23" s="3" t="str">
        <f t="shared" si="1"/>
        <v>I</v>
      </c>
      <c r="C23" s="14">
        <f t="shared" si="2"/>
        <v>32793.455000000002</v>
      </c>
      <c r="D23" s="16" t="str">
        <f t="shared" si="3"/>
        <v>vis</v>
      </c>
      <c r="E23" s="47">
        <f>VLOOKUP(C23,Active!C$21:E$973,3,FALSE)</f>
        <v>-512.00258933267389</v>
      </c>
      <c r="F23" s="3" t="s">
        <v>53</v>
      </c>
      <c r="G23" s="16" t="str">
        <f t="shared" si="4"/>
        <v>32793.455</v>
      </c>
      <c r="H23" s="14">
        <f t="shared" si="5"/>
        <v>-512</v>
      </c>
      <c r="I23" s="48" t="s">
        <v>64</v>
      </c>
      <c r="J23" s="49" t="s">
        <v>65</v>
      </c>
      <c r="K23" s="48">
        <v>-512</v>
      </c>
      <c r="L23" s="48" t="s">
        <v>66</v>
      </c>
      <c r="M23" s="49" t="s">
        <v>58</v>
      </c>
      <c r="N23" s="49"/>
      <c r="O23" s="50" t="s">
        <v>59</v>
      </c>
      <c r="P23" s="50" t="s">
        <v>60</v>
      </c>
    </row>
    <row r="24" spans="1:16" ht="12.75" customHeight="1" thickBot="1" x14ac:dyDescent="0.25">
      <c r="A24" s="14" t="str">
        <f t="shared" si="0"/>
        <v> AHSB 6.1.75 </v>
      </c>
      <c r="B24" s="3" t="str">
        <f t="shared" si="1"/>
        <v>II</v>
      </c>
      <c r="C24" s="14">
        <f t="shared" si="2"/>
        <v>32881.279999999999</v>
      </c>
      <c r="D24" s="16" t="str">
        <f t="shared" si="3"/>
        <v>vis</v>
      </c>
      <c r="E24" s="47">
        <f>VLOOKUP(C24,Active!C$21:E$973,3,FALSE)</f>
        <v>-487.49740159908026</v>
      </c>
      <c r="F24" s="3" t="s">
        <v>53</v>
      </c>
      <c r="G24" s="16" t="str">
        <f t="shared" si="4"/>
        <v>32881.280</v>
      </c>
      <c r="H24" s="14">
        <f t="shared" si="5"/>
        <v>-487.5</v>
      </c>
      <c r="I24" s="48" t="s">
        <v>67</v>
      </c>
      <c r="J24" s="49" t="s">
        <v>68</v>
      </c>
      <c r="K24" s="48">
        <v>-487.5</v>
      </c>
      <c r="L24" s="48" t="s">
        <v>69</v>
      </c>
      <c r="M24" s="49" t="s">
        <v>58</v>
      </c>
      <c r="N24" s="49"/>
      <c r="O24" s="50" t="s">
        <v>59</v>
      </c>
      <c r="P24" s="50" t="s">
        <v>60</v>
      </c>
    </row>
    <row r="25" spans="1:16" ht="12.75" customHeight="1" thickBot="1" x14ac:dyDescent="0.25">
      <c r="A25" s="14" t="str">
        <f t="shared" si="0"/>
        <v> AHSB 6.1.75 </v>
      </c>
      <c r="B25" s="3" t="str">
        <f t="shared" si="1"/>
        <v>I</v>
      </c>
      <c r="C25" s="14">
        <f t="shared" si="2"/>
        <v>33542.487000000001</v>
      </c>
      <c r="D25" s="16" t="str">
        <f t="shared" si="3"/>
        <v>vis</v>
      </c>
      <c r="E25" s="47">
        <f>VLOOKUP(C25,Active!C$21:E$973,3,FALSE)</f>
        <v>-303.00549535636043</v>
      </c>
      <c r="F25" s="3" t="s">
        <v>53</v>
      </c>
      <c r="G25" s="16" t="str">
        <f t="shared" si="4"/>
        <v>33542.487</v>
      </c>
      <c r="H25" s="14">
        <f t="shared" si="5"/>
        <v>-303</v>
      </c>
      <c r="I25" s="48" t="s">
        <v>70</v>
      </c>
      <c r="J25" s="49" t="s">
        <v>71</v>
      </c>
      <c r="K25" s="48">
        <v>-303</v>
      </c>
      <c r="L25" s="48" t="s">
        <v>72</v>
      </c>
      <c r="M25" s="49" t="s">
        <v>58</v>
      </c>
      <c r="N25" s="49"/>
      <c r="O25" s="50" t="s">
        <v>59</v>
      </c>
      <c r="P25" s="50" t="s">
        <v>60</v>
      </c>
    </row>
    <row r="26" spans="1:16" ht="12.75" customHeight="1" thickBot="1" x14ac:dyDescent="0.25">
      <c r="A26" s="14" t="str">
        <f t="shared" si="0"/>
        <v> AHSB 6.1.75 </v>
      </c>
      <c r="B26" s="3" t="str">
        <f t="shared" si="1"/>
        <v>I</v>
      </c>
      <c r="C26" s="14">
        <f t="shared" si="2"/>
        <v>33922.39</v>
      </c>
      <c r="D26" s="16" t="str">
        <f t="shared" si="3"/>
        <v>vis</v>
      </c>
      <c r="E26" s="47">
        <f>VLOOKUP(C26,Active!C$21:E$973,3,FALSE)</f>
        <v>-197.0038519113765</v>
      </c>
      <c r="F26" s="3" t="s">
        <v>53</v>
      </c>
      <c r="G26" s="16" t="str">
        <f t="shared" si="4"/>
        <v>33922.390</v>
      </c>
      <c r="H26" s="14">
        <f t="shared" si="5"/>
        <v>-197</v>
      </c>
      <c r="I26" s="48" t="s">
        <v>73</v>
      </c>
      <c r="J26" s="49" t="s">
        <v>74</v>
      </c>
      <c r="K26" s="48">
        <v>-197</v>
      </c>
      <c r="L26" s="48" t="s">
        <v>75</v>
      </c>
      <c r="M26" s="49" t="s">
        <v>58</v>
      </c>
      <c r="N26" s="49"/>
      <c r="O26" s="50" t="s">
        <v>59</v>
      </c>
      <c r="P26" s="50" t="s">
        <v>60</v>
      </c>
    </row>
    <row r="27" spans="1:16" ht="12.75" customHeight="1" thickBot="1" x14ac:dyDescent="0.25">
      <c r="A27" s="14" t="str">
        <f t="shared" si="0"/>
        <v> AHSB 6.1.75 </v>
      </c>
      <c r="B27" s="3" t="str">
        <f t="shared" si="1"/>
        <v>I</v>
      </c>
      <c r="C27" s="14">
        <f t="shared" si="2"/>
        <v>34119.508000000002</v>
      </c>
      <c r="D27" s="16" t="str">
        <f t="shared" si="3"/>
        <v>vis</v>
      </c>
      <c r="E27" s="47">
        <f>VLOOKUP(C27,Active!C$21:E$973,3,FALSE)</f>
        <v>-142.00341245028073</v>
      </c>
      <c r="F27" s="3" t="s">
        <v>53</v>
      </c>
      <c r="G27" s="16" t="str">
        <f t="shared" si="4"/>
        <v>34119.508</v>
      </c>
      <c r="H27" s="14">
        <f t="shared" si="5"/>
        <v>-142</v>
      </c>
      <c r="I27" s="48" t="s">
        <v>76</v>
      </c>
      <c r="J27" s="49" t="s">
        <v>77</v>
      </c>
      <c r="K27" s="48">
        <v>-142</v>
      </c>
      <c r="L27" s="48" t="s">
        <v>78</v>
      </c>
      <c r="M27" s="49" t="s">
        <v>58</v>
      </c>
      <c r="N27" s="49"/>
      <c r="O27" s="50" t="s">
        <v>59</v>
      </c>
      <c r="P27" s="50" t="s">
        <v>60</v>
      </c>
    </row>
    <row r="28" spans="1:16" ht="12.75" customHeight="1" thickBot="1" x14ac:dyDescent="0.25">
      <c r="A28" s="14" t="str">
        <f t="shared" si="0"/>
        <v> AHSB 6.1.75 </v>
      </c>
      <c r="B28" s="3" t="str">
        <f t="shared" si="1"/>
        <v>II</v>
      </c>
      <c r="C28" s="14">
        <f t="shared" si="2"/>
        <v>34153.550000000003</v>
      </c>
      <c r="D28" s="16" t="str">
        <f t="shared" si="3"/>
        <v>vis</v>
      </c>
      <c r="E28" s="47">
        <f>VLOOKUP(C28,Active!C$21:E$973,3,FALSE)</f>
        <v>-132.50491429113407</v>
      </c>
      <c r="F28" s="3" t="s">
        <v>53</v>
      </c>
      <c r="G28" s="16" t="str">
        <f t="shared" si="4"/>
        <v>34153.550</v>
      </c>
      <c r="H28" s="14">
        <f t="shared" si="5"/>
        <v>-132.5</v>
      </c>
      <c r="I28" s="48" t="s">
        <v>79</v>
      </c>
      <c r="J28" s="49" t="s">
        <v>80</v>
      </c>
      <c r="K28" s="48">
        <v>-132.5</v>
      </c>
      <c r="L28" s="48" t="s">
        <v>81</v>
      </c>
      <c r="M28" s="49" t="s">
        <v>58</v>
      </c>
      <c r="N28" s="49"/>
      <c r="O28" s="50" t="s">
        <v>59</v>
      </c>
      <c r="P28" s="50" t="s">
        <v>60</v>
      </c>
    </row>
    <row r="29" spans="1:16" ht="12.75" customHeight="1" thickBot="1" x14ac:dyDescent="0.25">
      <c r="A29" s="14" t="str">
        <f t="shared" si="0"/>
        <v> AHSB 6.1.75 </v>
      </c>
      <c r="B29" s="3" t="str">
        <f t="shared" si="1"/>
        <v>II</v>
      </c>
      <c r="C29" s="14">
        <f t="shared" si="2"/>
        <v>34214.525000000001</v>
      </c>
      <c r="D29" s="16" t="str">
        <f t="shared" si="3"/>
        <v>vis</v>
      </c>
      <c r="E29" s="47">
        <f>VLOOKUP(C29,Active!C$21:E$973,3,FALSE)</f>
        <v>-115.49149189368586</v>
      </c>
      <c r="F29" s="3" t="s">
        <v>53</v>
      </c>
      <c r="G29" s="16" t="str">
        <f t="shared" si="4"/>
        <v>34214.525</v>
      </c>
      <c r="H29" s="14">
        <f t="shared" si="5"/>
        <v>-115.5</v>
      </c>
      <c r="I29" s="48" t="s">
        <v>82</v>
      </c>
      <c r="J29" s="49" t="s">
        <v>83</v>
      </c>
      <c r="K29" s="48">
        <v>-115.5</v>
      </c>
      <c r="L29" s="48" t="s">
        <v>84</v>
      </c>
      <c r="M29" s="49" t="s">
        <v>58</v>
      </c>
      <c r="N29" s="49"/>
      <c r="O29" s="50" t="s">
        <v>59</v>
      </c>
      <c r="P29" s="50" t="s">
        <v>60</v>
      </c>
    </row>
    <row r="30" spans="1:16" ht="12.75" customHeight="1" thickBot="1" x14ac:dyDescent="0.25">
      <c r="A30" s="14" t="str">
        <f t="shared" si="0"/>
        <v> AHSB 6.1.75 </v>
      </c>
      <c r="B30" s="3" t="str">
        <f t="shared" si="1"/>
        <v>II</v>
      </c>
      <c r="C30" s="14">
        <f t="shared" si="2"/>
        <v>34601.544000000002</v>
      </c>
      <c r="D30" s="16" t="str">
        <f t="shared" si="3"/>
        <v>vis</v>
      </c>
      <c r="E30" s="47">
        <f>VLOOKUP(C30,Active!C$21:E$973,3,FALSE)</f>
        <v>-7.5043213674346214</v>
      </c>
      <c r="F30" s="3" t="s">
        <v>53</v>
      </c>
      <c r="G30" s="16" t="str">
        <f t="shared" si="4"/>
        <v>34601.544</v>
      </c>
      <c r="H30" s="14">
        <f t="shared" si="5"/>
        <v>-7.5</v>
      </c>
      <c r="I30" s="48" t="s">
        <v>85</v>
      </c>
      <c r="J30" s="49" t="s">
        <v>86</v>
      </c>
      <c r="K30" s="48">
        <v>-7.5</v>
      </c>
      <c r="L30" s="48" t="s">
        <v>87</v>
      </c>
      <c r="M30" s="49" t="s">
        <v>58</v>
      </c>
      <c r="N30" s="49"/>
      <c r="O30" s="50" t="s">
        <v>59</v>
      </c>
      <c r="P30" s="50" t="s">
        <v>60</v>
      </c>
    </row>
    <row r="31" spans="1:16" ht="12.75" customHeight="1" thickBot="1" x14ac:dyDescent="0.25">
      <c r="A31" s="14" t="str">
        <f t="shared" si="0"/>
        <v> AHSB 6.1.75 </v>
      </c>
      <c r="B31" s="3" t="str">
        <f t="shared" si="1"/>
        <v>I</v>
      </c>
      <c r="C31" s="14">
        <f t="shared" si="2"/>
        <v>34603.362999999998</v>
      </c>
      <c r="D31" s="16" t="str">
        <f t="shared" si="3"/>
        <v>vis</v>
      </c>
      <c r="E31" s="47">
        <f>VLOOKUP(C31,Active!C$21:E$973,3,FALSE)</f>
        <v>-6.9967786804171759</v>
      </c>
      <c r="F31" s="3" t="s">
        <v>53</v>
      </c>
      <c r="G31" s="16" t="str">
        <f t="shared" si="4"/>
        <v>34603.363</v>
      </c>
      <c r="H31" s="14">
        <f t="shared" si="5"/>
        <v>-7</v>
      </c>
      <c r="I31" s="48" t="s">
        <v>88</v>
      </c>
      <c r="J31" s="49" t="s">
        <v>89</v>
      </c>
      <c r="K31" s="48">
        <v>-7</v>
      </c>
      <c r="L31" s="48" t="s">
        <v>90</v>
      </c>
      <c r="M31" s="49" t="s">
        <v>58</v>
      </c>
      <c r="N31" s="49"/>
      <c r="O31" s="50" t="s">
        <v>59</v>
      </c>
      <c r="P31" s="50" t="s">
        <v>60</v>
      </c>
    </row>
    <row r="32" spans="1:16" ht="12.75" customHeight="1" thickBot="1" x14ac:dyDescent="0.25">
      <c r="A32" s="14" t="str">
        <f t="shared" si="0"/>
        <v> AHSB 6.1.75 </v>
      </c>
      <c r="B32" s="3" t="str">
        <f t="shared" si="1"/>
        <v>I</v>
      </c>
      <c r="C32" s="14">
        <f t="shared" si="2"/>
        <v>34628.432000000001</v>
      </c>
      <c r="D32" s="16" t="str">
        <f t="shared" si="3"/>
        <v>vis</v>
      </c>
      <c r="E32" s="47">
        <f>VLOOKUP(C32,Active!C$21:E$973,3,FALSE)</f>
        <v>-1.953160422214161E-3</v>
      </c>
      <c r="F32" s="3" t="s">
        <v>53</v>
      </c>
      <c r="G32" s="16" t="str">
        <f t="shared" si="4"/>
        <v>34628.432</v>
      </c>
      <c r="H32" s="14">
        <f t="shared" si="5"/>
        <v>0</v>
      </c>
      <c r="I32" s="48" t="s">
        <v>91</v>
      </c>
      <c r="J32" s="49" t="s">
        <v>92</v>
      </c>
      <c r="K32" s="48">
        <v>0</v>
      </c>
      <c r="L32" s="48" t="s">
        <v>93</v>
      </c>
      <c r="M32" s="49" t="s">
        <v>58</v>
      </c>
      <c r="N32" s="49"/>
      <c r="O32" s="50" t="s">
        <v>59</v>
      </c>
      <c r="P32" s="50" t="s">
        <v>60</v>
      </c>
    </row>
    <row r="33" spans="1:16" ht="12.75" customHeight="1" thickBot="1" x14ac:dyDescent="0.25">
      <c r="A33" s="14" t="str">
        <f t="shared" si="0"/>
        <v> AHSB 6.1.75 </v>
      </c>
      <c r="B33" s="3" t="str">
        <f t="shared" si="1"/>
        <v>II</v>
      </c>
      <c r="C33" s="14">
        <f t="shared" si="2"/>
        <v>34637.392</v>
      </c>
      <c r="D33" s="16" t="str">
        <f t="shared" si="3"/>
        <v>vis</v>
      </c>
      <c r="E33" s="47">
        <f>VLOOKUP(C33,Active!C$21:E$973,3,FALSE)</f>
        <v>2.4980921808016436</v>
      </c>
      <c r="F33" s="3" t="s">
        <v>53</v>
      </c>
      <c r="G33" s="16" t="str">
        <f t="shared" si="4"/>
        <v>34637.392</v>
      </c>
      <c r="H33" s="14">
        <f t="shared" si="5"/>
        <v>2.5</v>
      </c>
      <c r="I33" s="48" t="s">
        <v>94</v>
      </c>
      <c r="J33" s="49" t="s">
        <v>95</v>
      </c>
      <c r="K33" s="48">
        <v>2.5</v>
      </c>
      <c r="L33" s="48" t="s">
        <v>93</v>
      </c>
      <c r="M33" s="49" t="s">
        <v>58</v>
      </c>
      <c r="N33" s="49"/>
      <c r="O33" s="50" t="s">
        <v>59</v>
      </c>
      <c r="P33" s="50" t="s">
        <v>60</v>
      </c>
    </row>
    <row r="34" spans="1:16" ht="12.75" customHeight="1" thickBot="1" x14ac:dyDescent="0.25">
      <c r="A34" s="14" t="str">
        <f t="shared" si="0"/>
        <v> AHSB 6.1.75 </v>
      </c>
      <c r="B34" s="3" t="str">
        <f t="shared" si="1"/>
        <v>II</v>
      </c>
      <c r="C34" s="14">
        <f t="shared" si="2"/>
        <v>34655.29</v>
      </c>
      <c r="D34" s="16" t="str">
        <f t="shared" si="3"/>
        <v>vis</v>
      </c>
      <c r="E34" s="47">
        <f>VLOOKUP(C34,Active!C$21:E$973,3,FALSE)</f>
        <v>7.4920443590640975</v>
      </c>
      <c r="F34" s="3" t="s">
        <v>53</v>
      </c>
      <c r="G34" s="16" t="str">
        <f t="shared" si="4"/>
        <v>34655.290</v>
      </c>
      <c r="H34" s="14">
        <f t="shared" si="5"/>
        <v>7.5</v>
      </c>
      <c r="I34" s="48" t="s">
        <v>96</v>
      </c>
      <c r="J34" s="49" t="s">
        <v>97</v>
      </c>
      <c r="K34" s="48">
        <v>7.5</v>
      </c>
      <c r="L34" s="48" t="s">
        <v>98</v>
      </c>
      <c r="M34" s="49" t="s">
        <v>58</v>
      </c>
      <c r="N34" s="49"/>
      <c r="O34" s="50" t="s">
        <v>59</v>
      </c>
      <c r="P34" s="50" t="s">
        <v>60</v>
      </c>
    </row>
    <row r="35" spans="1:16" ht="12.75" customHeight="1" thickBot="1" x14ac:dyDescent="0.25">
      <c r="A35" s="14" t="str">
        <f t="shared" si="0"/>
        <v> AHSB 6.1.75 </v>
      </c>
      <c r="B35" s="3" t="str">
        <f t="shared" si="1"/>
        <v>II</v>
      </c>
      <c r="C35" s="14">
        <f t="shared" si="2"/>
        <v>34662.476999999999</v>
      </c>
      <c r="D35" s="16" t="str">
        <f t="shared" si="3"/>
        <v>vis</v>
      </c>
      <c r="E35" s="47">
        <f>VLOOKUP(C35,Active!C$21:E$973,3,FALSE)</f>
        <v>9.4973820674762433</v>
      </c>
      <c r="F35" s="3" t="s">
        <v>53</v>
      </c>
      <c r="G35" s="16" t="str">
        <f t="shared" si="4"/>
        <v>34662.477</v>
      </c>
      <c r="H35" s="14">
        <f t="shared" si="5"/>
        <v>9.5</v>
      </c>
      <c r="I35" s="48" t="s">
        <v>99</v>
      </c>
      <c r="J35" s="49" t="s">
        <v>100</v>
      </c>
      <c r="K35" s="48">
        <v>9.5</v>
      </c>
      <c r="L35" s="48" t="s">
        <v>66</v>
      </c>
      <c r="M35" s="49" t="s">
        <v>58</v>
      </c>
      <c r="N35" s="49"/>
      <c r="O35" s="50" t="s">
        <v>59</v>
      </c>
      <c r="P35" s="50" t="s">
        <v>60</v>
      </c>
    </row>
    <row r="36" spans="1:16" ht="12.75" customHeight="1" thickBot="1" x14ac:dyDescent="0.25">
      <c r="A36" s="14" t="str">
        <f t="shared" si="0"/>
        <v> AHSB 6.1.75 </v>
      </c>
      <c r="B36" s="3" t="str">
        <f t="shared" si="1"/>
        <v>I</v>
      </c>
      <c r="C36" s="14">
        <f t="shared" si="2"/>
        <v>34664.292000000001</v>
      </c>
      <c r="D36" s="16" t="str">
        <f t="shared" si="3"/>
        <v>vis</v>
      </c>
      <c r="E36" s="47">
        <f>VLOOKUP(C36,Active!C$21:E$973,3,FALSE)</f>
        <v>10.003808662825302</v>
      </c>
      <c r="F36" s="3" t="s">
        <v>53</v>
      </c>
      <c r="G36" s="16" t="str">
        <f t="shared" si="4"/>
        <v>34664.292</v>
      </c>
      <c r="H36" s="14">
        <f t="shared" si="5"/>
        <v>10</v>
      </c>
      <c r="I36" s="48" t="s">
        <v>101</v>
      </c>
      <c r="J36" s="49" t="s">
        <v>102</v>
      </c>
      <c r="K36" s="48">
        <v>10</v>
      </c>
      <c r="L36" s="48" t="s">
        <v>103</v>
      </c>
      <c r="M36" s="49" t="s">
        <v>58</v>
      </c>
      <c r="N36" s="49"/>
      <c r="O36" s="50" t="s">
        <v>59</v>
      </c>
      <c r="P36" s="50" t="s">
        <v>60</v>
      </c>
    </row>
    <row r="37" spans="1:16" ht="12.75" customHeight="1" thickBot="1" x14ac:dyDescent="0.25">
      <c r="A37" s="14" t="str">
        <f t="shared" si="0"/>
        <v> AHSB 6.1.75 </v>
      </c>
      <c r="B37" s="3" t="str">
        <f t="shared" si="1"/>
        <v>I</v>
      </c>
      <c r="C37" s="14">
        <f t="shared" si="2"/>
        <v>34707.307000000001</v>
      </c>
      <c r="D37" s="16" t="str">
        <f t="shared" si="3"/>
        <v>vis</v>
      </c>
      <c r="E37" s="47">
        <f>VLOOKUP(C37,Active!C$21:E$973,3,FALSE)</f>
        <v>22.005979461123658</v>
      </c>
      <c r="F37" s="3" t="s">
        <v>53</v>
      </c>
      <c r="G37" s="16" t="str">
        <f t="shared" si="4"/>
        <v>34707.307</v>
      </c>
      <c r="H37" s="14">
        <f t="shared" si="5"/>
        <v>22</v>
      </c>
      <c r="I37" s="48" t="s">
        <v>104</v>
      </c>
      <c r="J37" s="49" t="s">
        <v>105</v>
      </c>
      <c r="K37" s="48">
        <v>22</v>
      </c>
      <c r="L37" s="48" t="s">
        <v>106</v>
      </c>
      <c r="M37" s="49" t="s">
        <v>58</v>
      </c>
      <c r="N37" s="49"/>
      <c r="O37" s="50" t="s">
        <v>59</v>
      </c>
      <c r="P37" s="50" t="s">
        <v>60</v>
      </c>
    </row>
    <row r="38" spans="1:16" ht="12.75" customHeight="1" thickBot="1" x14ac:dyDescent="0.25">
      <c r="A38" s="14" t="str">
        <f t="shared" si="0"/>
        <v> AHSB 6.1.75 </v>
      </c>
      <c r="B38" s="3" t="str">
        <f t="shared" si="1"/>
        <v>I</v>
      </c>
      <c r="C38" s="14">
        <f t="shared" si="2"/>
        <v>34947.421999999999</v>
      </c>
      <c r="D38" s="16" t="str">
        <f t="shared" si="3"/>
        <v>vis</v>
      </c>
      <c r="E38" s="47">
        <f>VLOOKUP(C38,Active!C$21:E$973,3,FALSE)</f>
        <v>89.003567308000896</v>
      </c>
      <c r="F38" s="3" t="s">
        <v>53</v>
      </c>
      <c r="G38" s="16" t="str">
        <f t="shared" si="4"/>
        <v>34947.422</v>
      </c>
      <c r="H38" s="14">
        <f t="shared" si="5"/>
        <v>89</v>
      </c>
      <c r="I38" s="48" t="s">
        <v>107</v>
      </c>
      <c r="J38" s="49" t="s">
        <v>108</v>
      </c>
      <c r="K38" s="48">
        <v>89</v>
      </c>
      <c r="L38" s="48" t="s">
        <v>109</v>
      </c>
      <c r="M38" s="49" t="s">
        <v>58</v>
      </c>
      <c r="N38" s="49"/>
      <c r="O38" s="50" t="s">
        <v>59</v>
      </c>
      <c r="P38" s="50" t="s">
        <v>60</v>
      </c>
    </row>
    <row r="39" spans="1:16" ht="12.75" customHeight="1" thickBot="1" x14ac:dyDescent="0.25">
      <c r="A39" s="14" t="str">
        <f t="shared" si="0"/>
        <v> AHSB 6.1.75 </v>
      </c>
      <c r="B39" s="3" t="str">
        <f t="shared" si="1"/>
        <v>II</v>
      </c>
      <c r="C39" s="14">
        <f t="shared" si="2"/>
        <v>34981.43</v>
      </c>
      <c r="D39" s="16" t="str">
        <f t="shared" si="3"/>
        <v>vis</v>
      </c>
      <c r="E39" s="47">
        <f>VLOOKUP(C39,Active!C$21:E$973,3,FALSE)</f>
        <v>98.492578687951038</v>
      </c>
      <c r="F39" s="3" t="s">
        <v>53</v>
      </c>
      <c r="G39" s="16" t="str">
        <f t="shared" si="4"/>
        <v>34981.430</v>
      </c>
      <c r="H39" s="14">
        <f t="shared" si="5"/>
        <v>98.5</v>
      </c>
      <c r="I39" s="48" t="s">
        <v>110</v>
      </c>
      <c r="J39" s="49" t="s">
        <v>111</v>
      </c>
      <c r="K39" s="48">
        <v>98.5</v>
      </c>
      <c r="L39" s="48" t="s">
        <v>112</v>
      </c>
      <c r="M39" s="49" t="s">
        <v>58</v>
      </c>
      <c r="N39" s="49"/>
      <c r="O39" s="50" t="s">
        <v>59</v>
      </c>
      <c r="P39" s="50" t="s">
        <v>60</v>
      </c>
    </row>
    <row r="40" spans="1:16" ht="12.75" customHeight="1" thickBot="1" x14ac:dyDescent="0.25">
      <c r="A40" s="14" t="str">
        <f t="shared" si="0"/>
        <v> AHSB 6.1.75 </v>
      </c>
      <c r="B40" s="3" t="str">
        <f t="shared" si="1"/>
        <v>I</v>
      </c>
      <c r="C40" s="14">
        <f t="shared" si="2"/>
        <v>35044.186000000002</v>
      </c>
      <c r="D40" s="16" t="str">
        <f t="shared" si="3"/>
        <v>vis</v>
      </c>
      <c r="E40" s="47">
        <f>VLOOKUP(C40,Active!C$21:E$973,3,FALSE)</f>
        <v>116.0029409015518</v>
      </c>
      <c r="F40" s="3" t="s">
        <v>53</v>
      </c>
      <c r="G40" s="16" t="str">
        <f t="shared" si="4"/>
        <v>35044.186</v>
      </c>
      <c r="H40" s="14">
        <f t="shared" si="5"/>
        <v>116</v>
      </c>
      <c r="I40" s="48" t="s">
        <v>113</v>
      </c>
      <c r="J40" s="49" t="s">
        <v>114</v>
      </c>
      <c r="K40" s="48">
        <v>116</v>
      </c>
      <c r="L40" s="48" t="s">
        <v>115</v>
      </c>
      <c r="M40" s="49" t="s">
        <v>58</v>
      </c>
      <c r="N40" s="49"/>
      <c r="O40" s="50" t="s">
        <v>59</v>
      </c>
      <c r="P40" s="50" t="s">
        <v>60</v>
      </c>
    </row>
    <row r="41" spans="1:16" ht="12.75" customHeight="1" thickBot="1" x14ac:dyDescent="0.25">
      <c r="A41" s="14" t="str">
        <f t="shared" si="0"/>
        <v> AHSB 6.1.75 </v>
      </c>
      <c r="B41" s="3" t="str">
        <f t="shared" si="1"/>
        <v>I</v>
      </c>
      <c r="C41" s="14">
        <f t="shared" si="2"/>
        <v>35309.392</v>
      </c>
      <c r="D41" s="16" t="str">
        <f t="shared" si="3"/>
        <v>vis</v>
      </c>
      <c r="E41" s="47">
        <f>VLOOKUP(C41,Active!C$21:E$973,3,FALSE)</f>
        <v>190.00149277260925</v>
      </c>
      <c r="F41" s="3" t="s">
        <v>53</v>
      </c>
      <c r="G41" s="16" t="str">
        <f t="shared" si="4"/>
        <v>35309.392</v>
      </c>
      <c r="H41" s="14">
        <f t="shared" si="5"/>
        <v>190</v>
      </c>
      <c r="I41" s="48" t="s">
        <v>116</v>
      </c>
      <c r="J41" s="49" t="s">
        <v>117</v>
      </c>
      <c r="K41" s="48">
        <v>190</v>
      </c>
      <c r="L41" s="48" t="s">
        <v>118</v>
      </c>
      <c r="M41" s="49" t="s">
        <v>58</v>
      </c>
      <c r="N41" s="49"/>
      <c r="O41" s="50" t="s">
        <v>59</v>
      </c>
      <c r="P41" s="50" t="s">
        <v>60</v>
      </c>
    </row>
    <row r="42" spans="1:16" ht="12.75" customHeight="1" thickBot="1" x14ac:dyDescent="0.25">
      <c r="A42" s="14" t="str">
        <f t="shared" si="0"/>
        <v> AHSB 6.1.75 </v>
      </c>
      <c r="B42" s="3" t="str">
        <f t="shared" si="1"/>
        <v>I</v>
      </c>
      <c r="C42" s="14">
        <f t="shared" si="2"/>
        <v>35370.32</v>
      </c>
      <c r="D42" s="16" t="str">
        <f t="shared" si="3"/>
        <v>vis</v>
      </c>
      <c r="E42" s="47">
        <f>VLOOKUP(C42,Active!C$21:E$973,3,FALSE)</f>
        <v>207.00180109293311</v>
      </c>
      <c r="F42" s="3" t="s">
        <v>53</v>
      </c>
      <c r="G42" s="16" t="str">
        <f t="shared" si="4"/>
        <v>35370.320</v>
      </c>
      <c r="H42" s="14">
        <f t="shared" si="5"/>
        <v>207</v>
      </c>
      <c r="I42" s="48" t="s">
        <v>119</v>
      </c>
      <c r="J42" s="49" t="s">
        <v>120</v>
      </c>
      <c r="K42" s="48">
        <v>207</v>
      </c>
      <c r="L42" s="48" t="s">
        <v>121</v>
      </c>
      <c r="M42" s="49" t="s">
        <v>58</v>
      </c>
      <c r="N42" s="49"/>
      <c r="O42" s="50" t="s">
        <v>59</v>
      </c>
      <c r="P42" s="50" t="s">
        <v>60</v>
      </c>
    </row>
    <row r="43" spans="1:16" ht="12.75" customHeight="1" thickBot="1" x14ac:dyDescent="0.25">
      <c r="A43" s="14" t="str">
        <f t="shared" si="0"/>
        <v> AHSB 6.1.75 </v>
      </c>
      <c r="B43" s="3" t="str">
        <f t="shared" si="1"/>
        <v>II</v>
      </c>
      <c r="C43" s="14">
        <f t="shared" si="2"/>
        <v>36816.417000000001</v>
      </c>
      <c r="D43" s="16" t="str">
        <f t="shared" si="3"/>
        <v>vis</v>
      </c>
      <c r="E43" s="47">
        <f>VLOOKUP(C43,Active!C$21:E$973,3,FALSE)</f>
        <v>610.49600508937885</v>
      </c>
      <c r="F43" s="3" t="s">
        <v>53</v>
      </c>
      <c r="G43" s="16" t="str">
        <f t="shared" si="4"/>
        <v>36816.417</v>
      </c>
      <c r="H43" s="14">
        <f t="shared" si="5"/>
        <v>610.5</v>
      </c>
      <c r="I43" s="48" t="s">
        <v>122</v>
      </c>
      <c r="J43" s="49" t="s">
        <v>123</v>
      </c>
      <c r="K43" s="48">
        <v>610.5</v>
      </c>
      <c r="L43" s="48" t="s">
        <v>75</v>
      </c>
      <c r="M43" s="49" t="s">
        <v>58</v>
      </c>
      <c r="N43" s="49"/>
      <c r="O43" s="50" t="s">
        <v>59</v>
      </c>
      <c r="P43" s="50" t="s">
        <v>60</v>
      </c>
    </row>
    <row r="44" spans="1:16" ht="12.75" customHeight="1" thickBot="1" x14ac:dyDescent="0.25">
      <c r="A44" s="14" t="str">
        <f t="shared" si="0"/>
        <v> AHSB 6.1.75 </v>
      </c>
      <c r="B44" s="3" t="str">
        <f t="shared" si="1"/>
        <v>II</v>
      </c>
      <c r="C44" s="14">
        <f t="shared" si="2"/>
        <v>36823.565000000002</v>
      </c>
      <c r="D44" s="16" t="str">
        <f t="shared" si="3"/>
        <v>vis</v>
      </c>
      <c r="E44" s="47">
        <f>VLOOKUP(C44,Active!C$21:E$973,3,FALSE)</f>
        <v>612.49046090400748</v>
      </c>
      <c r="F44" s="3" t="s">
        <v>53</v>
      </c>
      <c r="G44" s="16" t="str">
        <f t="shared" si="4"/>
        <v>36823.565</v>
      </c>
      <c r="H44" s="14">
        <f t="shared" si="5"/>
        <v>612.5</v>
      </c>
      <c r="I44" s="48" t="s">
        <v>124</v>
      </c>
      <c r="J44" s="49" t="s">
        <v>125</v>
      </c>
      <c r="K44" s="48">
        <v>612.5</v>
      </c>
      <c r="L44" s="48" t="s">
        <v>126</v>
      </c>
      <c r="M44" s="49" t="s">
        <v>58</v>
      </c>
      <c r="N44" s="49"/>
      <c r="O44" s="50" t="s">
        <v>59</v>
      </c>
      <c r="P44" s="50" t="s">
        <v>60</v>
      </c>
    </row>
    <row r="45" spans="1:16" ht="12.75" customHeight="1" thickBot="1" x14ac:dyDescent="0.25">
      <c r="A45" s="14" t="str">
        <f t="shared" si="0"/>
        <v> AHSB 6.1.75 </v>
      </c>
      <c r="B45" s="3" t="str">
        <f t="shared" si="1"/>
        <v>I</v>
      </c>
      <c r="C45" s="14">
        <f t="shared" si="2"/>
        <v>36850.474999999999</v>
      </c>
      <c r="D45" s="16" t="str">
        <f t="shared" si="3"/>
        <v>vis</v>
      </c>
      <c r="E45" s="47">
        <f>VLOOKUP(C45,Active!C$21:E$973,3,FALSE)</f>
        <v>619.99896761520506</v>
      </c>
      <c r="F45" s="3" t="s">
        <v>53</v>
      </c>
      <c r="G45" s="16" t="str">
        <f t="shared" si="4"/>
        <v>36850.475</v>
      </c>
      <c r="H45" s="14">
        <f t="shared" si="5"/>
        <v>620</v>
      </c>
      <c r="I45" s="48" t="s">
        <v>127</v>
      </c>
      <c r="J45" s="49" t="s">
        <v>128</v>
      </c>
      <c r="K45" s="48">
        <v>620</v>
      </c>
      <c r="L45" s="48" t="s">
        <v>129</v>
      </c>
      <c r="M45" s="49" t="s">
        <v>58</v>
      </c>
      <c r="N45" s="49"/>
      <c r="O45" s="50" t="s">
        <v>59</v>
      </c>
      <c r="P45" s="50" t="s">
        <v>60</v>
      </c>
    </row>
    <row r="46" spans="1:16" ht="12.75" customHeight="1" thickBot="1" x14ac:dyDescent="0.25">
      <c r="A46" s="14" t="str">
        <f t="shared" si="0"/>
        <v>BAVM 212 </v>
      </c>
      <c r="B46" s="3" t="str">
        <f t="shared" si="1"/>
        <v>I</v>
      </c>
      <c r="C46" s="14">
        <f t="shared" si="2"/>
        <v>55060.382400000002</v>
      </c>
      <c r="D46" s="16" t="str">
        <f t="shared" si="3"/>
        <v>vis</v>
      </c>
      <c r="E46" s="47">
        <f>VLOOKUP(C46,Active!C$21:E$973,3,FALSE)</f>
        <v>5700.9804586299706</v>
      </c>
      <c r="F46" s="3" t="s">
        <v>53</v>
      </c>
      <c r="G46" s="16" t="str">
        <f t="shared" si="4"/>
        <v>55060.3824</v>
      </c>
      <c r="H46" s="14">
        <f t="shared" si="5"/>
        <v>5701</v>
      </c>
      <c r="I46" s="48" t="s">
        <v>155</v>
      </c>
      <c r="J46" s="49" t="s">
        <v>156</v>
      </c>
      <c r="K46" s="48" t="s">
        <v>157</v>
      </c>
      <c r="L46" s="48" t="s">
        <v>158</v>
      </c>
      <c r="M46" s="49" t="s">
        <v>133</v>
      </c>
      <c r="N46" s="49" t="s">
        <v>134</v>
      </c>
      <c r="O46" s="50" t="s">
        <v>159</v>
      </c>
      <c r="P46" s="51" t="s">
        <v>160</v>
      </c>
    </row>
    <row r="47" spans="1:16" ht="12.75" customHeight="1" thickBot="1" x14ac:dyDescent="0.25">
      <c r="A47" s="14" t="str">
        <f t="shared" si="0"/>
        <v>BAVM 212 </v>
      </c>
      <c r="B47" s="3" t="str">
        <f t="shared" si="1"/>
        <v>I</v>
      </c>
      <c r="C47" s="14">
        <f t="shared" si="2"/>
        <v>55103.3897</v>
      </c>
      <c r="D47" s="16" t="str">
        <f t="shared" si="3"/>
        <v>vis</v>
      </c>
      <c r="E47" s="47">
        <f>VLOOKUP(C47,Active!C$21:E$973,3,FALSE)</f>
        <v>5712.9804809518037</v>
      </c>
      <c r="F47" s="3" t="s">
        <v>53</v>
      </c>
      <c r="G47" s="16" t="str">
        <f t="shared" si="4"/>
        <v>55103.3897</v>
      </c>
      <c r="H47" s="14">
        <f t="shared" si="5"/>
        <v>5713</v>
      </c>
      <c r="I47" s="48" t="s">
        <v>168</v>
      </c>
      <c r="J47" s="49" t="s">
        <v>169</v>
      </c>
      <c r="K47" s="48" t="s">
        <v>170</v>
      </c>
      <c r="L47" s="48" t="s">
        <v>158</v>
      </c>
      <c r="M47" s="49" t="s">
        <v>133</v>
      </c>
      <c r="N47" s="49" t="s">
        <v>134</v>
      </c>
      <c r="O47" s="50" t="s">
        <v>159</v>
      </c>
      <c r="P47" s="51" t="s">
        <v>160</v>
      </c>
    </row>
    <row r="48" spans="1:16" ht="12.75" customHeight="1" thickBot="1" x14ac:dyDescent="0.25">
      <c r="A48" s="14" t="str">
        <f t="shared" si="0"/>
        <v>BAVM 225 </v>
      </c>
      <c r="B48" s="3" t="str">
        <f t="shared" si="1"/>
        <v>I</v>
      </c>
      <c r="C48" s="14">
        <f t="shared" si="2"/>
        <v>55791.503100000002</v>
      </c>
      <c r="D48" s="16" t="str">
        <f t="shared" si="3"/>
        <v>vis</v>
      </c>
      <c r="E48" s="47">
        <f>VLOOKUP(C48,Active!C$21:E$973,3,FALSE)</f>
        <v>5904.979889423219</v>
      </c>
      <c r="F48" s="3" t="s">
        <v>53</v>
      </c>
      <c r="G48" s="16" t="str">
        <f t="shared" si="4"/>
        <v>55791.5031</v>
      </c>
      <c r="H48" s="14">
        <f t="shared" si="5"/>
        <v>5905</v>
      </c>
      <c r="I48" s="48" t="s">
        <v>180</v>
      </c>
      <c r="J48" s="49" t="s">
        <v>181</v>
      </c>
      <c r="K48" s="48" t="s">
        <v>182</v>
      </c>
      <c r="L48" s="48" t="s">
        <v>183</v>
      </c>
      <c r="M48" s="49" t="s">
        <v>133</v>
      </c>
      <c r="N48" s="49" t="s">
        <v>134</v>
      </c>
      <c r="O48" s="50" t="s">
        <v>159</v>
      </c>
      <c r="P48" s="51" t="s">
        <v>184</v>
      </c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</sheetData>
  <phoneticPr fontId="7" type="noConversion"/>
  <hyperlinks>
    <hyperlink ref="P11" r:id="rId1" display="http://www.bav-astro.de/sfs/BAVM_link.php?BAVMnr=178"/>
    <hyperlink ref="P12" r:id="rId2" display="http://www.bav-astro.de/sfs/BAVM_link.php?BAVMnr=178"/>
    <hyperlink ref="P13" r:id="rId3" display="http://www.bav-astro.de/sfs/BAVM_link.php?BAVMnr=178"/>
    <hyperlink ref="P14" r:id="rId4" display="http://www.bav-astro.de/sfs/BAVM_link.php?BAVMnr=178"/>
    <hyperlink ref="P15" r:id="rId5" display="http://www.bav-astro.de/sfs/BAVM_link.php?BAVMnr=183"/>
    <hyperlink ref="P46" r:id="rId6" display="http://www.bav-astro.de/sfs/BAVM_link.php?BAVMnr=212"/>
    <hyperlink ref="P16" r:id="rId7" display="http://www.bav-astro.de/sfs/BAVM_link.php?BAVMnr=214"/>
    <hyperlink ref="P47" r:id="rId8" display="http://www.bav-astro.de/sfs/BAVM_link.php?BAVMnr=212"/>
    <hyperlink ref="P17" r:id="rId9" display="http://www.bav-astro.de/sfs/BAVM_link.php?BAVMnr=214"/>
    <hyperlink ref="P18" r:id="rId10" display="http://www.bav-astro.de/sfs/BAVM_link.php?BAVMnr=215"/>
    <hyperlink ref="P48" r:id="rId11" display="http://www.bav-astro.de/sfs/BAVM_link.php?BAVMnr=225"/>
    <hyperlink ref="P19" r:id="rId12" display="http://www.bav-astro.de/sfs/BAVM_link.php?BAVMnr=239"/>
    <hyperlink ref="P20" r:id="rId13" display="http://www.bav-astro.de/sfs/BAVM_link.php?BAVMnr=239"/>
  </hyperlinks>
  <pageMargins left="0.75" right="0.75" top="1" bottom="1" header="0.5" footer="0.5"/>
  <pageSetup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2024-02-02T04:20:39Z</dcterms:modified>
</cp:coreProperties>
</file>