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0C8D250-8D98-445C-8BB4-89E2380B54DE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2" r:id="rId1"/>
    <sheet name="Active 2" sheetId="4" r:id="rId2"/>
    <sheet name="A (old)" sheetId="1" r:id="rId3"/>
    <sheet name="BAV" sheetId="3" r:id="rId4"/>
  </sheets>
  <calcPr calcId="181029"/>
</workbook>
</file>

<file path=xl/calcChain.xml><?xml version="1.0" encoding="utf-8"?>
<calcChain xmlns="http://schemas.openxmlformats.org/spreadsheetml/2006/main">
  <c r="C8" i="4" l="1"/>
  <c r="C7" i="4"/>
  <c r="G22" i="4"/>
  <c r="I22" i="4"/>
  <c r="C9" i="4"/>
  <c r="D9" i="4"/>
  <c r="E22" i="4"/>
  <c r="F22" i="4"/>
  <c r="E24" i="4"/>
  <c r="F24" i="4"/>
  <c r="G24" i="4"/>
  <c r="I24" i="4"/>
  <c r="E25" i="4"/>
  <c r="F25" i="4"/>
  <c r="E26" i="4"/>
  <c r="F26" i="4"/>
  <c r="G26" i="4"/>
  <c r="I26" i="4"/>
  <c r="E27" i="4"/>
  <c r="F27" i="4"/>
  <c r="G27" i="4"/>
  <c r="I27" i="4"/>
  <c r="E28" i="4"/>
  <c r="F28" i="4"/>
  <c r="G28" i="4"/>
  <c r="I28" i="4"/>
  <c r="E29" i="4"/>
  <c r="F29" i="4"/>
  <c r="G29" i="4"/>
  <c r="I29" i="4"/>
  <c r="E30" i="4"/>
  <c r="F30" i="4"/>
  <c r="G30" i="4"/>
  <c r="I30" i="4"/>
  <c r="E31" i="4"/>
  <c r="F31" i="4"/>
  <c r="G31" i="4"/>
  <c r="I31" i="4"/>
  <c r="E32" i="4"/>
  <c r="F32" i="4"/>
  <c r="G32" i="4"/>
  <c r="I32" i="4"/>
  <c r="E33" i="4"/>
  <c r="F33" i="4"/>
  <c r="G33" i="4"/>
  <c r="I33" i="4"/>
  <c r="E34" i="4"/>
  <c r="F34" i="4"/>
  <c r="G34" i="4"/>
  <c r="I34" i="4"/>
  <c r="E35" i="4"/>
  <c r="F35" i="4"/>
  <c r="G35" i="4"/>
  <c r="I35" i="4"/>
  <c r="E36" i="4"/>
  <c r="F36" i="4"/>
  <c r="E37" i="4"/>
  <c r="F37" i="4"/>
  <c r="G37" i="4"/>
  <c r="J37" i="4"/>
  <c r="E38" i="4"/>
  <c r="F38" i="4"/>
  <c r="G38" i="4"/>
  <c r="I38" i="4"/>
  <c r="E39" i="4"/>
  <c r="F39" i="4"/>
  <c r="G39" i="4"/>
  <c r="I39" i="4"/>
  <c r="E40" i="4"/>
  <c r="F40" i="4"/>
  <c r="E41" i="4"/>
  <c r="F41" i="4"/>
  <c r="G41" i="4"/>
  <c r="J41" i="4"/>
  <c r="E42" i="4"/>
  <c r="F42" i="4"/>
  <c r="G42" i="4"/>
  <c r="K42" i="4"/>
  <c r="E43" i="4"/>
  <c r="F43" i="4"/>
  <c r="G43" i="4"/>
  <c r="I43" i="4"/>
  <c r="E44" i="4"/>
  <c r="F44" i="4"/>
  <c r="G44" i="4"/>
  <c r="J44" i="4"/>
  <c r="E45" i="4"/>
  <c r="F45" i="4"/>
  <c r="G45" i="4"/>
  <c r="K45" i="4"/>
  <c r="E46" i="4"/>
  <c r="F46" i="4"/>
  <c r="G46" i="4"/>
  <c r="K46" i="4"/>
  <c r="E47" i="4"/>
  <c r="F47" i="4"/>
  <c r="G47" i="4"/>
  <c r="J47" i="4"/>
  <c r="E48" i="4"/>
  <c r="F48" i="4"/>
  <c r="G48" i="4"/>
  <c r="J48" i="4"/>
  <c r="E49" i="4"/>
  <c r="F49" i="4"/>
  <c r="G49" i="4"/>
  <c r="K49" i="4"/>
  <c r="E50" i="4"/>
  <c r="F50" i="4"/>
  <c r="G50" i="4"/>
  <c r="K50" i="4"/>
  <c r="E51" i="4"/>
  <c r="F51" i="4"/>
  <c r="G51" i="4"/>
  <c r="K51" i="4"/>
  <c r="E52" i="4"/>
  <c r="F52" i="4"/>
  <c r="G52" i="4"/>
  <c r="K52" i="4"/>
  <c r="E53" i="4"/>
  <c r="F53" i="4"/>
  <c r="G53" i="4"/>
  <c r="K53" i="4"/>
  <c r="E54" i="4"/>
  <c r="F54" i="4"/>
  <c r="G54" i="4"/>
  <c r="J54" i="4"/>
  <c r="E21" i="4"/>
  <c r="F21" i="4"/>
  <c r="F16" i="4"/>
  <c r="F17" i="4" s="1"/>
  <c r="C17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S38" i="4"/>
  <c r="Q39" i="4"/>
  <c r="S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C7" i="2"/>
  <c r="E55" i="2"/>
  <c r="F55" i="2"/>
  <c r="G55" i="2"/>
  <c r="T55" i="2"/>
  <c r="Q55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I26" i="2"/>
  <c r="E27" i="2"/>
  <c r="F27" i="2"/>
  <c r="G27" i="2"/>
  <c r="I27" i="2"/>
  <c r="E28" i="2"/>
  <c r="F28" i="2"/>
  <c r="G28" i="2"/>
  <c r="I28" i="2"/>
  <c r="E29" i="2"/>
  <c r="F29" i="2"/>
  <c r="G29" i="2"/>
  <c r="E30" i="2"/>
  <c r="F30" i="2"/>
  <c r="G30" i="2"/>
  <c r="I30" i="2"/>
  <c r="E31" i="2"/>
  <c r="F31" i="2"/>
  <c r="G31" i="2"/>
  <c r="I31" i="2"/>
  <c r="E32" i="2"/>
  <c r="F32" i="2"/>
  <c r="G32" i="2"/>
  <c r="I32" i="2"/>
  <c r="E33" i="2"/>
  <c r="F33" i="2"/>
  <c r="G33" i="2"/>
  <c r="I33" i="2"/>
  <c r="E34" i="2"/>
  <c r="F34" i="2"/>
  <c r="G34" i="2"/>
  <c r="I34" i="2"/>
  <c r="E35" i="2"/>
  <c r="F35" i="2"/>
  <c r="G35" i="2"/>
  <c r="I35" i="2"/>
  <c r="E36" i="2"/>
  <c r="F36" i="2"/>
  <c r="E37" i="2"/>
  <c r="F37" i="2"/>
  <c r="G37" i="2"/>
  <c r="E38" i="2"/>
  <c r="F38" i="2"/>
  <c r="E39" i="2"/>
  <c r="F39" i="2"/>
  <c r="G39" i="2"/>
  <c r="I39" i="2"/>
  <c r="E40" i="2"/>
  <c r="F40" i="2"/>
  <c r="G40" i="2"/>
  <c r="I40" i="2"/>
  <c r="E41" i="2"/>
  <c r="F41" i="2"/>
  <c r="G41" i="2"/>
  <c r="J41" i="2"/>
  <c r="E42" i="2"/>
  <c r="F42" i="2"/>
  <c r="G42" i="2"/>
  <c r="K42" i="2"/>
  <c r="E43" i="2"/>
  <c r="F43" i="2"/>
  <c r="G43" i="2"/>
  <c r="I43" i="2"/>
  <c r="E44" i="2"/>
  <c r="F44" i="2"/>
  <c r="G44" i="2"/>
  <c r="J44" i="2"/>
  <c r="E45" i="2"/>
  <c r="F45" i="2"/>
  <c r="G45" i="2"/>
  <c r="K45" i="2"/>
  <c r="E46" i="2"/>
  <c r="F46" i="2"/>
  <c r="G46" i="2"/>
  <c r="K46" i="2"/>
  <c r="E47" i="2"/>
  <c r="F47" i="2"/>
  <c r="G47" i="2"/>
  <c r="J47" i="2"/>
  <c r="E48" i="2"/>
  <c r="F48" i="2"/>
  <c r="G48" i="2"/>
  <c r="J48" i="2"/>
  <c r="E49" i="2"/>
  <c r="F49" i="2"/>
  <c r="G49" i="2"/>
  <c r="K49" i="2"/>
  <c r="E50" i="2"/>
  <c r="F50" i="2"/>
  <c r="G50" i="2"/>
  <c r="K50" i="2"/>
  <c r="E51" i="2"/>
  <c r="F51" i="2"/>
  <c r="G51" i="2"/>
  <c r="K51" i="2"/>
  <c r="E52" i="2"/>
  <c r="F52" i="2"/>
  <c r="G52" i="2"/>
  <c r="K52" i="2"/>
  <c r="E53" i="2"/>
  <c r="F53" i="2"/>
  <c r="G53" i="2"/>
  <c r="E54" i="2"/>
  <c r="F54" i="2"/>
  <c r="G54" i="2"/>
  <c r="J54" i="2"/>
  <c r="Q51" i="2"/>
  <c r="D9" i="2"/>
  <c r="C9" i="2"/>
  <c r="E21" i="2"/>
  <c r="F21" i="2"/>
  <c r="Q46" i="2"/>
  <c r="Q45" i="2"/>
  <c r="Q43" i="2"/>
  <c r="Q41" i="2"/>
  <c r="Q37" i="2"/>
  <c r="J37" i="2"/>
  <c r="Q35" i="2"/>
  <c r="Q34" i="2"/>
  <c r="Q33" i="2"/>
  <c r="Q32" i="2"/>
  <c r="Q31" i="2"/>
  <c r="Q30" i="2"/>
  <c r="Q29" i="2"/>
  <c r="I29" i="2"/>
  <c r="Q28" i="2"/>
  <c r="Q27" i="2"/>
  <c r="Q26" i="2"/>
  <c r="Q25" i="2"/>
  <c r="Q24" i="2"/>
  <c r="Q23" i="2"/>
  <c r="Q22" i="2"/>
  <c r="G22" i="3"/>
  <c r="C22" i="3"/>
  <c r="E22" i="3"/>
  <c r="G21" i="3"/>
  <c r="C21" i="3"/>
  <c r="E21" i="3"/>
  <c r="G20" i="3"/>
  <c r="C20" i="3"/>
  <c r="E20" i="3"/>
  <c r="G43" i="3"/>
  <c r="C43" i="3"/>
  <c r="E43" i="3"/>
  <c r="G19" i="3"/>
  <c r="C19" i="3"/>
  <c r="E19" i="3"/>
  <c r="G18" i="3"/>
  <c r="C18" i="3"/>
  <c r="E18" i="3"/>
  <c r="G17" i="3"/>
  <c r="C17" i="3"/>
  <c r="E17" i="3"/>
  <c r="G16" i="3"/>
  <c r="C16" i="3"/>
  <c r="E16" i="3"/>
  <c r="G42" i="3"/>
  <c r="C42" i="3"/>
  <c r="E42" i="3"/>
  <c r="G41" i="3"/>
  <c r="C41" i="3"/>
  <c r="E41" i="3"/>
  <c r="G15" i="3"/>
  <c r="C15" i="3"/>
  <c r="E15" i="3"/>
  <c r="G40" i="3"/>
  <c r="C40" i="3"/>
  <c r="E40" i="3"/>
  <c r="G39" i="3"/>
  <c r="C39" i="3"/>
  <c r="E39" i="3"/>
  <c r="G14" i="3"/>
  <c r="C14" i="3"/>
  <c r="E14" i="3"/>
  <c r="G38" i="3"/>
  <c r="C38" i="3"/>
  <c r="E38" i="3"/>
  <c r="G13" i="3"/>
  <c r="C13" i="3"/>
  <c r="E13" i="3"/>
  <c r="G12" i="3"/>
  <c r="C12" i="3"/>
  <c r="E12" i="3"/>
  <c r="G37" i="3"/>
  <c r="C37" i="3"/>
  <c r="E37" i="3"/>
  <c r="G11" i="3"/>
  <c r="C11" i="3"/>
  <c r="E11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H22" i="3"/>
  <c r="B22" i="3"/>
  <c r="D22" i="3"/>
  <c r="A22" i="3"/>
  <c r="H21" i="3"/>
  <c r="B21" i="3"/>
  <c r="D21" i="3"/>
  <c r="A21" i="3"/>
  <c r="H20" i="3"/>
  <c r="B20" i="3"/>
  <c r="D20" i="3"/>
  <c r="A20" i="3"/>
  <c r="H43" i="3"/>
  <c r="B43" i="3"/>
  <c r="D43" i="3"/>
  <c r="A43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42" i="3"/>
  <c r="B42" i="3"/>
  <c r="D42" i="3"/>
  <c r="A42" i="3"/>
  <c r="H41" i="3"/>
  <c r="B41" i="3"/>
  <c r="D41" i="3"/>
  <c r="A41" i="3"/>
  <c r="H15" i="3"/>
  <c r="B15" i="3"/>
  <c r="D15" i="3"/>
  <c r="A15" i="3"/>
  <c r="H40" i="3"/>
  <c r="B40" i="3"/>
  <c r="D40" i="3"/>
  <c r="A40" i="3"/>
  <c r="H39" i="3"/>
  <c r="B39" i="3"/>
  <c r="D39" i="3"/>
  <c r="A39" i="3"/>
  <c r="H14" i="3"/>
  <c r="B14" i="3"/>
  <c r="D14" i="3"/>
  <c r="A14" i="3"/>
  <c r="H38" i="3"/>
  <c r="B38" i="3"/>
  <c r="D38" i="3"/>
  <c r="A38" i="3"/>
  <c r="H13" i="3"/>
  <c r="B13" i="3"/>
  <c r="D13" i="3"/>
  <c r="A13" i="3"/>
  <c r="H12" i="3"/>
  <c r="B12" i="3"/>
  <c r="D12" i="3"/>
  <c r="A12" i="3"/>
  <c r="H37" i="3"/>
  <c r="B37" i="3"/>
  <c r="D37" i="3"/>
  <c r="A37" i="3"/>
  <c r="H11" i="3"/>
  <c r="B11" i="3"/>
  <c r="D11" i="3"/>
  <c r="A11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Q54" i="2"/>
  <c r="Q50" i="2"/>
  <c r="Q52" i="2"/>
  <c r="K53" i="2"/>
  <c r="Q53" i="2"/>
  <c r="Q47" i="2"/>
  <c r="Q48" i="2"/>
  <c r="Q49" i="2"/>
  <c r="F16" i="2"/>
  <c r="F17" i="2" s="1"/>
  <c r="C17" i="2"/>
  <c r="Q42" i="2"/>
  <c r="Q21" i="2"/>
  <c r="Q36" i="2"/>
  <c r="Q38" i="2"/>
  <c r="Q39" i="2"/>
  <c r="Q40" i="2"/>
  <c r="S40" i="2"/>
  <c r="Q44" i="2"/>
  <c r="E21" i="1"/>
  <c r="F21" i="1"/>
  <c r="E24" i="1"/>
  <c r="F24" i="1"/>
  <c r="Q26" i="1"/>
  <c r="C17" i="1"/>
  <c r="Q22" i="1"/>
  <c r="Q23" i="1"/>
  <c r="Q24" i="1"/>
  <c r="Q25" i="1"/>
  <c r="C7" i="1"/>
  <c r="C8" i="1"/>
  <c r="Q21" i="1"/>
  <c r="S39" i="2"/>
  <c r="G38" i="2"/>
  <c r="I38" i="2"/>
  <c r="S38" i="2"/>
  <c r="G36" i="4"/>
  <c r="J36" i="4"/>
  <c r="S36" i="4"/>
  <c r="S40" i="4"/>
  <c r="G40" i="4"/>
  <c r="I40" i="4"/>
  <c r="S36" i="2"/>
  <c r="G36" i="2"/>
  <c r="E25" i="1"/>
  <c r="F25" i="1"/>
  <c r="R25" i="1"/>
  <c r="E26" i="1"/>
  <c r="F26" i="1"/>
  <c r="G26" i="1"/>
  <c r="I26" i="1"/>
  <c r="G24" i="1"/>
  <c r="I24" i="1"/>
  <c r="E22" i="1"/>
  <c r="F22" i="1"/>
  <c r="G21" i="1"/>
  <c r="G25" i="4"/>
  <c r="I25" i="4"/>
  <c r="E23" i="4"/>
  <c r="F23" i="4"/>
  <c r="G23" i="4"/>
  <c r="E55" i="4"/>
  <c r="F55" i="4"/>
  <c r="G55" i="4"/>
  <c r="K55" i="4"/>
  <c r="G25" i="1"/>
  <c r="I25" i="1"/>
  <c r="E23" i="1"/>
  <c r="F23" i="1"/>
  <c r="R22" i="1"/>
  <c r="G22" i="1"/>
  <c r="J22" i="1"/>
  <c r="G23" i="1"/>
  <c r="I23" i="1"/>
  <c r="R23" i="1"/>
  <c r="I23" i="4"/>
  <c r="R24" i="1"/>
  <c r="J36" i="2"/>
  <c r="C11" i="1"/>
  <c r="H21" i="1"/>
  <c r="O24" i="1"/>
  <c r="C12" i="1"/>
  <c r="C16" i="1"/>
  <c r="D18" i="1"/>
  <c r="O21" i="1"/>
  <c r="O23" i="1"/>
  <c r="C15" i="1"/>
  <c r="C18" i="1"/>
  <c r="O22" i="1"/>
  <c r="O25" i="1"/>
  <c r="O26" i="1"/>
  <c r="C11" i="2"/>
  <c r="C12" i="2"/>
  <c r="C12" i="4"/>
  <c r="C11" i="4"/>
  <c r="O44" i="4" l="1"/>
  <c r="O42" i="4"/>
  <c r="O28" i="4"/>
  <c r="O26" i="4"/>
  <c r="O49" i="4"/>
  <c r="O24" i="4"/>
  <c r="O43" i="4"/>
  <c r="O52" i="4"/>
  <c r="O50" i="4"/>
  <c r="O36" i="4"/>
  <c r="O34" i="4"/>
  <c r="O48" i="4"/>
  <c r="O27" i="4"/>
  <c r="O25" i="4"/>
  <c r="O46" i="4"/>
  <c r="O35" i="4"/>
  <c r="O33" i="4"/>
  <c r="O23" i="4"/>
  <c r="O54" i="4"/>
  <c r="O40" i="4"/>
  <c r="O47" i="4"/>
  <c r="O38" i="4"/>
  <c r="O31" i="4"/>
  <c r="O21" i="4"/>
  <c r="O55" i="4"/>
  <c r="O29" i="4"/>
  <c r="O32" i="4"/>
  <c r="O22" i="4"/>
  <c r="O45" i="4"/>
  <c r="O51" i="4"/>
  <c r="O39" i="4"/>
  <c r="O37" i="4"/>
  <c r="O53" i="4"/>
  <c r="C15" i="4"/>
  <c r="O41" i="4"/>
  <c r="O30" i="4"/>
  <c r="C16" i="4"/>
  <c r="D18" i="4" s="1"/>
  <c r="C16" i="2"/>
  <c r="D18" i="2" s="1"/>
  <c r="O40" i="2"/>
  <c r="O31" i="2"/>
  <c r="O25" i="2"/>
  <c r="C15" i="2"/>
  <c r="O24" i="2"/>
  <c r="O28" i="2"/>
  <c r="O49" i="2"/>
  <c r="O23" i="2"/>
  <c r="O21" i="2"/>
  <c r="O42" i="2"/>
  <c r="O34" i="2"/>
  <c r="O44" i="2"/>
  <c r="O50" i="2"/>
  <c r="O35" i="2"/>
  <c r="O41" i="2"/>
  <c r="O26" i="2"/>
  <c r="O47" i="2"/>
  <c r="O55" i="2"/>
  <c r="O27" i="2"/>
  <c r="O54" i="2"/>
  <c r="O39" i="2"/>
  <c r="O37" i="2"/>
  <c r="O43" i="2"/>
  <c r="O48" i="2"/>
  <c r="O38" i="2"/>
  <c r="O30" i="2"/>
  <c r="O29" i="2"/>
  <c r="O36" i="2"/>
  <c r="O51" i="2"/>
  <c r="O22" i="2"/>
  <c r="O46" i="2"/>
  <c r="O53" i="2"/>
  <c r="O45" i="2"/>
  <c r="O33" i="2"/>
  <c r="O52" i="2"/>
  <c r="O32" i="2"/>
  <c r="F18" i="2" l="1"/>
  <c r="F19" i="2" s="1"/>
  <c r="C18" i="2"/>
  <c r="C18" i="4"/>
  <c r="F18" i="4"/>
  <c r="F19" i="4" s="1"/>
</calcChain>
</file>

<file path=xl/sharedStrings.xml><?xml version="1.0" encoding="utf-8"?>
<sst xmlns="http://schemas.openxmlformats.org/spreadsheetml/2006/main" count="558" uniqueCount="217">
  <si>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</si>
  <si>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</si>
  <si>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</si>
  <si>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</si>
  <si>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</si>
  <si>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</si>
  <si>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</si>
  <si>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</si>
  <si>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</si>
  <si>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</si>
  <si>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</si>
  <si>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</si>
  <si>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</si>
  <si>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</si>
  <si>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</si>
  <si>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</si>
  <si>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</si>
  <si>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</si>
  <si>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</si>
  <si>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</si>
  <si>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</si>
  <si>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</si>
  <si>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</si>
  <si>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</si>
  <si>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</si>
  <si>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</si>
  <si>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</si>
  <si>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</si>
  <si>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</si>
  <si>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</si>
  <si>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Vandenbroere J</t>
  </si>
  <si>
    <t>BBSAG Bull.110</t>
  </si>
  <si>
    <t>B</t>
  </si>
  <si>
    <t>Diethelm R</t>
  </si>
  <si>
    <t>BBSAG Bull.113</t>
  </si>
  <si>
    <t>BBSAG</t>
  </si>
  <si>
    <t>IBVS 3903</t>
  </si>
  <si>
    <t>IBVS</t>
  </si>
  <si>
    <t>EA/DM</t>
  </si>
  <si>
    <t># of data points:</t>
  </si>
  <si>
    <t>V959 Cyg / GSC 02656-03828</t>
  </si>
  <si>
    <t>IBVS 5713</t>
  </si>
  <si>
    <t>I</t>
  </si>
  <si>
    <t>ASAS</t>
  </si>
  <si>
    <t>WRONG</t>
  </si>
  <si>
    <t>My time zone &gt;&gt;&gt;&gt;&gt;</t>
  </si>
  <si>
    <t>(PST=8, PDT=MDT=7, MDT=CST=6, etc.)</t>
  </si>
  <si>
    <t>JD today</t>
  </si>
  <si>
    <t>New Cycle</t>
  </si>
  <si>
    <t>Next ToM</t>
  </si>
  <si>
    <t>IBVS 5745</t>
  </si>
  <si>
    <t>Add cycle</t>
  </si>
  <si>
    <t>Old Cycle</t>
  </si>
  <si>
    <t>Start of linear fit &gt;&gt;&gt;&gt;&gt;&gt;&gt;&gt;&gt;&gt;&gt;&gt;&gt;&gt;&gt;&gt;&gt;&gt;&gt;&gt;&gt;</t>
  </si>
  <si>
    <t>IBVS 5988</t>
  </si>
  <si>
    <t>IBVS 5959</t>
  </si>
  <si>
    <t>V0959 Cyg / GSC 02656-03828</t>
  </si>
  <si>
    <t>OEJV 0160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</si>
  <si>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</si>
  <si>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</si>
  <si>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</si>
  <si>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</si>
  <si>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</si>
  <si>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</si>
  <si>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</si>
  <si>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</si>
  <si>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</si>
  <si>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</si>
  <si>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</si>
  <si>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</si>
  <si>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</si>
  <si>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</si>
  <si>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2432761.490 </t>
  </si>
  <si>
    <t> 28.07.1948 23:45 </t>
  </si>
  <si>
    <t> 0.005 </t>
  </si>
  <si>
    <t>P </t>
  </si>
  <si>
    <t> A.A.Wachmann </t>
  </si>
  <si>
    <t> AHSB 6.2.145 </t>
  </si>
  <si>
    <t>2432763.345 </t>
  </si>
  <si>
    <t> 30.07.1948 20:16 </t>
  </si>
  <si>
    <t> 0.020 </t>
  </si>
  <si>
    <t>2432914.175 </t>
  </si>
  <si>
    <t> 28.12.1948 16:12 </t>
  </si>
  <si>
    <t> -0.016 </t>
  </si>
  <si>
    <t>2433922.412 </t>
  </si>
  <si>
    <t> 02.10.1951 21:53 </t>
  </si>
  <si>
    <t> 0.000 </t>
  </si>
  <si>
    <t>2433946.330 </t>
  </si>
  <si>
    <t> 26.10.1951 19:55 </t>
  </si>
  <si>
    <t>2434150.548 </t>
  </si>
  <si>
    <t> 18.05.1952 01:09 </t>
  </si>
  <si>
    <t> -0.002 </t>
  </si>
  <si>
    <t>2434634.405 </t>
  </si>
  <si>
    <t> 13.09.1953 21:43 </t>
  </si>
  <si>
    <t> -0.017 </t>
  </si>
  <si>
    <t>2434636.260 </t>
  </si>
  <si>
    <t> 15.09.1953 18:14 </t>
  </si>
  <si>
    <t>2434706.165 </t>
  </si>
  <si>
    <t> 24.11.1953 15:57 </t>
  </si>
  <si>
    <t> -0.010 </t>
  </si>
  <si>
    <t>2435195.565 </t>
  </si>
  <si>
    <t> 29.03.1955 01:33 </t>
  </si>
  <si>
    <t>2435368.495 </t>
  </si>
  <si>
    <t> 17.09.1955 23:52 </t>
  </si>
  <si>
    <t>2435370.362 </t>
  </si>
  <si>
    <t> 19.09.1955 20:41 </t>
  </si>
  <si>
    <t> 0.012 </t>
  </si>
  <si>
    <t>2435453.153 </t>
  </si>
  <si>
    <t> 11.12.1955 15:40 </t>
  </si>
  <si>
    <t> 0.011 </t>
  </si>
  <si>
    <t>2436816.449 </t>
  </si>
  <si>
    <t> 04.09.1959 22:46 </t>
  </si>
  <si>
    <t> -0.000 </t>
  </si>
  <si>
    <t>2449124.8123 </t>
  </si>
  <si>
    <t> 17.05.1993 07:29 </t>
  </si>
  <si>
    <t> -0.0340 </t>
  </si>
  <si>
    <t>E </t>
  </si>
  <si>
    <t>?</t>
  </si>
  <si>
    <t> R.Diethelm </t>
  </si>
  <si>
    <t>IBVS 3903 </t>
  </si>
  <si>
    <t>2449198.4053 </t>
  </si>
  <si>
    <t> 29.07.1993 21:43 </t>
  </si>
  <si>
    <t> -0.0338 </t>
  </si>
  <si>
    <t>o</t>
  </si>
  <si>
    <t> F.Agerer </t>
  </si>
  <si>
    <t>BAVM 68 </t>
  </si>
  <si>
    <t>2449279.355 </t>
  </si>
  <si>
    <t> 18.10.1993 20:31 </t>
  </si>
  <si>
    <t> -0.036 </t>
  </si>
  <si>
    <t>V </t>
  </si>
  <si>
    <t> J.Vandenbroere </t>
  </si>
  <si>
    <t> BBS 110 </t>
  </si>
  <si>
    <t>2449658.347 </t>
  </si>
  <si>
    <t> 01.11.1994 20:19 </t>
  </si>
  <si>
    <t> -0.047 </t>
  </si>
  <si>
    <t>2450324.3666 </t>
  </si>
  <si>
    <t> 28.08.1996 20:47 </t>
  </si>
  <si>
    <t> -0.0425 </t>
  </si>
  <si>
    <t> BBS 113 </t>
  </si>
  <si>
    <t>2450664.7335 </t>
  </si>
  <si>
    <t> 04.08.1997 05:36 </t>
  </si>
  <si>
    <t> -0.0423 </t>
  </si>
  <si>
    <t> Smith &amp; Caton </t>
  </si>
  <si>
    <t>IBVS 5745 </t>
  </si>
  <si>
    <t>2451713.4270 </t>
  </si>
  <si>
    <t> 17.06.2000 22:14 </t>
  </si>
  <si>
    <t> -0.0463 </t>
  </si>
  <si>
    <t> BBS 123 </t>
  </si>
  <si>
    <t>2453229.4398 </t>
  </si>
  <si>
    <t> 11.08.2004 22:33 </t>
  </si>
  <si>
    <t> -0.0454 </t>
  </si>
  <si>
    <t> M.Zejda et al. </t>
  </si>
  <si>
    <t>IBVS 5741 </t>
  </si>
  <si>
    <t>2453895.4480 </t>
  </si>
  <si>
    <t> 08.06.2006 22:45 </t>
  </si>
  <si>
    <t> -0.0521 </t>
  </si>
  <si>
    <t>IBVS 5713 </t>
  </si>
  <si>
    <t>2454324.1257 </t>
  </si>
  <si>
    <t> 11.08.2007 15:01 </t>
  </si>
  <si>
    <t> -0.0525 </t>
  </si>
  <si>
    <t>C </t>
  </si>
  <si>
    <t> H.Itoh </t>
  </si>
  <si>
    <t>VSB 46 </t>
  </si>
  <si>
    <t>2454366.4486 </t>
  </si>
  <si>
    <t> 22.09.2007 22:45 </t>
  </si>
  <si>
    <t> -0.0455 </t>
  </si>
  <si>
    <t>-I</t>
  </si>
  <si>
    <t> P.Frank </t>
  </si>
  <si>
    <t>BAVM 193 </t>
  </si>
  <si>
    <t>2455126.2884 </t>
  </si>
  <si>
    <t> 21.10.2009 18:55 </t>
  </si>
  <si>
    <t>11525</t>
  </si>
  <si>
    <t> -0.0514 </t>
  </si>
  <si>
    <t>-U;-I</t>
  </si>
  <si>
    <t> M.Rätz &amp; K.Rätz </t>
  </si>
  <si>
    <t>BAVM 214 </t>
  </si>
  <si>
    <t>2455376.5040 </t>
  </si>
  <si>
    <t> 29.06.2010 00:05 </t>
  </si>
  <si>
    <t>11661</t>
  </si>
  <si>
    <t>2455400.4192 </t>
  </si>
  <si>
    <t> 22.07.2010 22:03 </t>
  </si>
  <si>
    <t>11674</t>
  </si>
  <si>
    <t> -0.0538 </t>
  </si>
  <si>
    <t>m</t>
  </si>
  <si>
    <t> S.Dogru et al. </t>
  </si>
  <si>
    <t>IBVS 5988 </t>
  </si>
  <si>
    <t>2455698.47003 </t>
  </si>
  <si>
    <t> 16.05.2011 23:16 </t>
  </si>
  <si>
    <t>11836</t>
  </si>
  <si>
    <t> -0.05386 </t>
  </si>
  <si>
    <t>R</t>
  </si>
  <si>
    <t> H.Ku?akova </t>
  </si>
  <si>
    <t>OEJV 0160 </t>
  </si>
  <si>
    <t>2455801.5003 </t>
  </si>
  <si>
    <t> 28.08.2011 00:00 </t>
  </si>
  <si>
    <t>11892</t>
  </si>
  <si>
    <t> -0.0535 </t>
  </si>
  <si>
    <t>BAVM 225 </t>
  </si>
  <si>
    <t>2455803.34091 </t>
  </si>
  <si>
    <t> 29.08.2011 20:10 </t>
  </si>
  <si>
    <t>11893</t>
  </si>
  <si>
    <t> -0.05273 </t>
  </si>
  <si>
    <t> R.Kocian </t>
  </si>
  <si>
    <t>2455838.29573 </t>
  </si>
  <si>
    <t> 03.10.2011 19:05 </t>
  </si>
  <si>
    <t>11912</t>
  </si>
  <si>
    <t> -0.05449 </t>
  </si>
  <si>
    <t>2456905.3899 </t>
  </si>
  <si>
    <t> 04.09.2014 21:21 </t>
  </si>
  <si>
    <t>12492</t>
  </si>
  <si>
    <t> -0.0560 </t>
  </si>
  <si>
    <t>BAVM 239 </t>
  </si>
  <si>
    <t>RHGN 2017</t>
  </si>
  <si>
    <t>RHN 2017</t>
  </si>
  <si>
    <t>2017-11-07</t>
  </si>
  <si>
    <t>my adjustment 2017-11-07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</si>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</sst>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2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4" fillId="0" borderId="5" xfId="0" applyFont="1" applyBorder="1" applyAlignment="1"/>
    <xf numFmtId="0" fontId="10" fillId="0" borderId="0" xfId="0" applyFont="1" applyAlignment="1"/>
    <xf numFmtId="0" fontId="14" fillId="0" borderId="3" xfId="0" applyFont="1" applyBorder="1" applyAlignment="1"/>
    <xf numFmtId="0" fontId="5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5" xfId="0" applyBorder="1">
      <alignment vertical="top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2" fillId="2" borderId="12" xfId="7" applyFill="1" applyBorder="1" applyAlignment="1" applyProtection="1">
      <alignment horizontal="right" vertical="top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vertical="top"/>
    </xf>
    <xf numFmtId="0" fontId="6" fillId="0" borderId="5" xfId="0" applyFont="1" applyBorder="1" applyAlignment="1"/>
    <xf numFmtId="0" fontId="0" fillId="0" borderId="0" xfId="0" quotePrefix="1" applyAlignment="1"/>
    <xf numFmtId="0" fontId="26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V0959 Cyg - O-C Diagr.</a:t>
            </a:r>
          </a:p>
        </c:rich>
      </c:tx>
      <c:layout>
        <c:manualLayout>
          <c:xMode val="edge"/>
          <c:yMode val="edge"/>
          <c:x val="0.34608436240551893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9825232356473"/>
          <c:y val="0.15047044975517021"/>
          <c:w val="0.79963712367145456"/>
          <c:h val="0.62069060524007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07-4BFD-8116-B0B3BF82AB6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">
                  <c:v>4.5462000052793883E-3</c:v>
                </c:pt>
                <c:pt idx="2">
                  <c:v>1.9726000005903188E-2</c:v>
                </c:pt>
                <c:pt idx="3">
                  <c:v>-1.5530399992712773E-2</c:v>
                </c:pt>
                <c:pt idx="4">
                  <c:v>0</c:v>
                </c:pt>
                <c:pt idx="5">
                  <c:v>3.3740000799298286E-4</c:v>
                </c:pt>
                <c:pt idx="6">
                  <c:v>-1.704799993603956E-3</c:v>
                </c:pt>
                <c:pt idx="7">
                  <c:v>-1.7417399998521432E-2</c:v>
                </c:pt>
                <c:pt idx="8">
                  <c:v>-2.2375999978976324E-3</c:v>
                </c:pt>
                <c:pt idx="9">
                  <c:v>-1.0405199995147996E-2</c:v>
                </c:pt>
                <c:pt idx="10">
                  <c:v>-2.5783999954001047E-3</c:v>
                </c:pt>
                <c:pt idx="11">
                  <c:v>-1.5677199997298885E-2</c:v>
                </c:pt>
                <c:pt idx="12">
                  <c:v>1.1502600005769636E-2</c:v>
                </c:pt>
                <c:pt idx="13">
                  <c:v>1.0593600003630854E-2</c:v>
                </c:pt>
                <c:pt idx="14">
                  <c:v>-1.7459999799029902E-4</c:v>
                </c:pt>
                <c:pt idx="17">
                  <c:v>-3.6209399993822444E-2</c:v>
                </c:pt>
                <c:pt idx="18">
                  <c:v>-4.717059999529738E-2</c:v>
                </c:pt>
                <c:pt idx="19">
                  <c:v>-4.3082999989564996E-2</c:v>
                </c:pt>
                <c:pt idx="22">
                  <c:v>-4.6333999991475139E-2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07-4BFD-8116-B0B3BF82AB6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15">
                  <c:v>-3.4012600001005922E-2</c:v>
                </c:pt>
                <c:pt idx="16">
                  <c:v>-3.3820600001490675E-2</c:v>
                </c:pt>
                <c:pt idx="20">
                  <c:v>-4.2482999990170356E-2</c:v>
                </c:pt>
                <c:pt idx="23">
                  <c:v>-5.2091199999267701E-2</c:v>
                </c:pt>
                <c:pt idx="26">
                  <c:v>-5.1404999998339918E-2</c:v>
                </c:pt>
                <c:pt idx="27">
                  <c:v>-5.1352199996472336E-2</c:v>
                </c:pt>
                <c:pt idx="33">
                  <c:v>-5.603839999093907E-2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07-4BFD-8116-B0B3BF82AB6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21">
                  <c:v>-4.2319999993196689E-2</c:v>
                </c:pt>
                <c:pt idx="24">
                  <c:v>-5.2497799995762762E-2</c:v>
                </c:pt>
                <c:pt idx="25">
                  <c:v>-4.5462399997632019E-2</c:v>
                </c:pt>
                <c:pt idx="28">
                  <c:v>-5.3814799997780938E-2</c:v>
                </c:pt>
                <c:pt idx="29">
                  <c:v>-5.3857200000493322E-2</c:v>
                </c:pt>
                <c:pt idx="30">
                  <c:v>-5.3518399996391963E-2</c:v>
                </c:pt>
                <c:pt idx="31">
                  <c:v>-5.2728599999682046E-2</c:v>
                </c:pt>
                <c:pt idx="32">
                  <c:v>-5.4492399998707697E-2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07-4BFD-8116-B0B3BF82AB6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07-4BFD-8116-B0B3BF82AB6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07-4BFD-8116-B0B3BF82AB6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07-4BFD-8116-B0B3BF82AB6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-3.9587453280253593E-2</c:v>
                </c:pt>
                <c:pt idx="1">
                  <c:v>-2.7447053057743819E-2</c:v>
                </c:pt>
                <c:pt idx="2">
                  <c:v>-2.7441450658010312E-2</c:v>
                </c:pt>
                <c:pt idx="3">
                  <c:v>-2.6982053879862734E-2</c:v>
                </c:pt>
                <c:pt idx="4">
                  <c:v>-2.3911938825900873E-2</c:v>
                </c:pt>
                <c:pt idx="5">
                  <c:v>-2.383910762936528E-2</c:v>
                </c:pt>
                <c:pt idx="6">
                  <c:v>-2.3217241258946E-2</c:v>
                </c:pt>
                <c:pt idx="7">
                  <c:v>-2.1743810129033644E-2</c:v>
                </c:pt>
                <c:pt idx="8">
                  <c:v>-2.1738207729300137E-2</c:v>
                </c:pt>
                <c:pt idx="9">
                  <c:v>-2.152531653942687E-2</c:v>
                </c:pt>
                <c:pt idx="10">
                  <c:v>-2.0035078210313997E-2</c:v>
                </c:pt>
                <c:pt idx="11">
                  <c:v>-1.9508452635364333E-2</c:v>
                </c:pt>
                <c:pt idx="12">
                  <c:v>-1.9502850235630826E-2</c:v>
                </c:pt>
                <c:pt idx="13">
                  <c:v>-1.9250742247623007E-2</c:v>
                </c:pt>
                <c:pt idx="14">
                  <c:v>-1.5099364045094286E-2</c:v>
                </c:pt>
                <c:pt idx="15">
                  <c:v>2.2380690172067865E-2</c:v>
                </c:pt>
                <c:pt idx="16">
                  <c:v>2.2604786161408149E-2</c:v>
                </c:pt>
                <c:pt idx="17">
                  <c:v>2.2851291749682454E-2</c:v>
                </c:pt>
                <c:pt idx="18">
                  <c:v>2.4005386094784909E-2</c:v>
                </c:pt>
                <c:pt idx="19">
                  <c:v>2.6033454798314457E-2</c:v>
                </c:pt>
                <c:pt idx="20">
                  <c:v>2.6033454798314457E-2</c:v>
                </c:pt>
                <c:pt idx="21">
                  <c:v>2.7069898749013267E-2</c:v>
                </c:pt>
                <c:pt idx="22">
                  <c:v>3.0263266597112284E-2</c:v>
                </c:pt>
                <c:pt idx="23">
                  <c:v>3.6907712681051641E-2</c:v>
                </c:pt>
                <c:pt idx="24">
                  <c:v>3.8213071818958777E-2</c:v>
                </c:pt>
                <c:pt idx="25">
                  <c:v>3.8341927012829444E-2</c:v>
                </c:pt>
                <c:pt idx="26">
                  <c:v>4.0655718102767857E-2</c:v>
                </c:pt>
                <c:pt idx="27">
                  <c:v>4.1417644466524822E-2</c:v>
                </c:pt>
                <c:pt idx="28">
                  <c:v>4.1490475663060411E-2</c:v>
                </c:pt>
                <c:pt idx="29">
                  <c:v>4.2398064419888554E-2</c:v>
                </c:pt>
                <c:pt idx="30">
                  <c:v>4.2711798804964951E-2</c:v>
                </c:pt>
                <c:pt idx="31">
                  <c:v>4.2717401204698455E-2</c:v>
                </c:pt>
                <c:pt idx="32">
                  <c:v>4.2823846799635093E-2</c:v>
                </c:pt>
                <c:pt idx="33">
                  <c:v>4.6073238645069181E-2</c:v>
                </c:pt>
                <c:pt idx="34">
                  <c:v>4.9574738478511085E-2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07-4BFD-8116-B0B3BF82A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303336"/>
        <c:axId val="1"/>
      </c:scatterChart>
      <c:valAx>
        <c:axId val="773303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30514559996943"/>
              <c:y val="0.83385711582290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3315118397086E-2"/>
              <c:y val="0.366771818099540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303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22078319445042"/>
          <c:y val="0.91849661425550644"/>
          <c:w val="0.7449922311623615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V0959 Cyg - O-C Diagr.</a:t>
            </a:r>
          </a:p>
        </c:rich>
      </c:tx>
      <c:layout>
        <c:manualLayout>
          <c:xMode val="edge"/>
          <c:yMode val="edge"/>
          <c:x val="0.345454927225005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36377518090835"/>
          <c:y val="0.15"/>
          <c:w val="0.78727342620155027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2F-456A-9B03-63485C52E30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">
                  <c:v>4.5462000052793883E-3</c:v>
                </c:pt>
                <c:pt idx="2">
                  <c:v>1.9726000005903188E-2</c:v>
                </c:pt>
                <c:pt idx="3">
                  <c:v>-1.5530399992712773E-2</c:v>
                </c:pt>
                <c:pt idx="4">
                  <c:v>0</c:v>
                </c:pt>
                <c:pt idx="5">
                  <c:v>3.3740000799298286E-4</c:v>
                </c:pt>
                <c:pt idx="6">
                  <c:v>-1.704799993603956E-3</c:v>
                </c:pt>
                <c:pt idx="7">
                  <c:v>-1.7417399998521432E-2</c:v>
                </c:pt>
                <c:pt idx="8">
                  <c:v>-2.2375999978976324E-3</c:v>
                </c:pt>
                <c:pt idx="9">
                  <c:v>-1.0405199995147996E-2</c:v>
                </c:pt>
                <c:pt idx="10">
                  <c:v>-2.5783999954001047E-3</c:v>
                </c:pt>
                <c:pt idx="11">
                  <c:v>-1.5677199997298885E-2</c:v>
                </c:pt>
                <c:pt idx="12">
                  <c:v>1.1502600005769636E-2</c:v>
                </c:pt>
                <c:pt idx="13">
                  <c:v>1.0593600003630854E-2</c:v>
                </c:pt>
                <c:pt idx="14">
                  <c:v>-1.7459999799029902E-4</c:v>
                </c:pt>
                <c:pt idx="17">
                  <c:v>-3.6209399993822444E-2</c:v>
                </c:pt>
                <c:pt idx="18">
                  <c:v>-4.717059999529738E-2</c:v>
                </c:pt>
                <c:pt idx="19">
                  <c:v>-4.3082999989564996E-2</c:v>
                </c:pt>
                <c:pt idx="22">
                  <c:v>-4.6333999991475139E-2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2F-456A-9B03-63485C52E30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15">
                  <c:v>-3.4012600001005922E-2</c:v>
                </c:pt>
                <c:pt idx="16">
                  <c:v>-3.3820600001490675E-2</c:v>
                </c:pt>
                <c:pt idx="20">
                  <c:v>-4.2482999990170356E-2</c:v>
                </c:pt>
                <c:pt idx="23">
                  <c:v>-5.2091199999267701E-2</c:v>
                </c:pt>
                <c:pt idx="26">
                  <c:v>-5.1404999998339918E-2</c:v>
                </c:pt>
                <c:pt idx="27">
                  <c:v>-5.1352199996472336E-2</c:v>
                </c:pt>
                <c:pt idx="33">
                  <c:v>-5.603839999093907E-2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2F-456A-9B03-63485C52E30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21">
                  <c:v>-4.2319999993196689E-2</c:v>
                </c:pt>
                <c:pt idx="24">
                  <c:v>-5.2497799995762762E-2</c:v>
                </c:pt>
                <c:pt idx="25">
                  <c:v>-4.5462399997632019E-2</c:v>
                </c:pt>
                <c:pt idx="28">
                  <c:v>-5.3814799997780938E-2</c:v>
                </c:pt>
                <c:pt idx="29">
                  <c:v>-5.3857200000493322E-2</c:v>
                </c:pt>
                <c:pt idx="30">
                  <c:v>-5.3518399996391963E-2</c:v>
                </c:pt>
                <c:pt idx="31">
                  <c:v>-5.2728599999682046E-2</c:v>
                </c:pt>
                <c:pt idx="32">
                  <c:v>-5.4492399998707697E-2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2F-456A-9B03-63485C52E30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2F-456A-9B03-63485C52E30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2F-456A-9B03-63485C52E30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2F-456A-9B03-63485C52E30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-2798</c:v>
                </c:pt>
                <c:pt idx="1">
                  <c:v>-631</c:v>
                </c:pt>
                <c:pt idx="2">
                  <c:v>-630</c:v>
                </c:pt>
                <c:pt idx="3">
                  <c:v>-548</c:v>
                </c:pt>
                <c:pt idx="4">
                  <c:v>0</c:v>
                </c:pt>
                <c:pt idx="5">
                  <c:v>13</c:v>
                </c:pt>
                <c:pt idx="6">
                  <c:v>124</c:v>
                </c:pt>
                <c:pt idx="7">
                  <c:v>387</c:v>
                </c:pt>
                <c:pt idx="8">
                  <c:v>388</c:v>
                </c:pt>
                <c:pt idx="9">
                  <c:v>426</c:v>
                </c:pt>
                <c:pt idx="10">
                  <c:v>692</c:v>
                </c:pt>
                <c:pt idx="11">
                  <c:v>786</c:v>
                </c:pt>
                <c:pt idx="12">
                  <c:v>787</c:v>
                </c:pt>
                <c:pt idx="13">
                  <c:v>832</c:v>
                </c:pt>
                <c:pt idx="14">
                  <c:v>1573</c:v>
                </c:pt>
                <c:pt idx="15">
                  <c:v>8263</c:v>
                </c:pt>
                <c:pt idx="16">
                  <c:v>8303</c:v>
                </c:pt>
                <c:pt idx="17">
                  <c:v>8347</c:v>
                </c:pt>
                <c:pt idx="18">
                  <c:v>8553</c:v>
                </c:pt>
                <c:pt idx="19">
                  <c:v>8915</c:v>
                </c:pt>
                <c:pt idx="20">
                  <c:v>8915</c:v>
                </c:pt>
                <c:pt idx="21">
                  <c:v>9100</c:v>
                </c:pt>
                <c:pt idx="22">
                  <c:v>9670</c:v>
                </c:pt>
                <c:pt idx="23">
                  <c:v>10856</c:v>
                </c:pt>
                <c:pt idx="24">
                  <c:v>11089</c:v>
                </c:pt>
                <c:pt idx="25">
                  <c:v>11112</c:v>
                </c:pt>
                <c:pt idx="26">
                  <c:v>11525</c:v>
                </c:pt>
                <c:pt idx="27">
                  <c:v>11661</c:v>
                </c:pt>
                <c:pt idx="28">
                  <c:v>11674</c:v>
                </c:pt>
                <c:pt idx="29">
                  <c:v>11836</c:v>
                </c:pt>
                <c:pt idx="30">
                  <c:v>11892</c:v>
                </c:pt>
                <c:pt idx="31">
                  <c:v>11893</c:v>
                </c:pt>
                <c:pt idx="32">
                  <c:v>11912</c:v>
                </c:pt>
                <c:pt idx="33">
                  <c:v>12492</c:v>
                </c:pt>
                <c:pt idx="34">
                  <c:v>13117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-3.9587453280253593E-2</c:v>
                </c:pt>
                <c:pt idx="1">
                  <c:v>-2.7447053057743819E-2</c:v>
                </c:pt>
                <c:pt idx="2">
                  <c:v>-2.7441450658010312E-2</c:v>
                </c:pt>
                <c:pt idx="3">
                  <c:v>-2.6982053879862734E-2</c:v>
                </c:pt>
                <c:pt idx="4">
                  <c:v>-2.3911938825900873E-2</c:v>
                </c:pt>
                <c:pt idx="5">
                  <c:v>-2.383910762936528E-2</c:v>
                </c:pt>
                <c:pt idx="6">
                  <c:v>-2.3217241258946E-2</c:v>
                </c:pt>
                <c:pt idx="7">
                  <c:v>-2.1743810129033644E-2</c:v>
                </c:pt>
                <c:pt idx="8">
                  <c:v>-2.1738207729300137E-2</c:v>
                </c:pt>
                <c:pt idx="9">
                  <c:v>-2.152531653942687E-2</c:v>
                </c:pt>
                <c:pt idx="10">
                  <c:v>-2.0035078210313997E-2</c:v>
                </c:pt>
                <c:pt idx="11">
                  <c:v>-1.9508452635364333E-2</c:v>
                </c:pt>
                <c:pt idx="12">
                  <c:v>-1.9502850235630826E-2</c:v>
                </c:pt>
                <c:pt idx="13">
                  <c:v>-1.9250742247623007E-2</c:v>
                </c:pt>
                <c:pt idx="14">
                  <c:v>-1.5099364045094286E-2</c:v>
                </c:pt>
                <c:pt idx="15">
                  <c:v>2.2380690172067865E-2</c:v>
                </c:pt>
                <c:pt idx="16">
                  <c:v>2.2604786161408149E-2</c:v>
                </c:pt>
                <c:pt idx="17">
                  <c:v>2.2851291749682454E-2</c:v>
                </c:pt>
                <c:pt idx="18">
                  <c:v>2.4005386094784909E-2</c:v>
                </c:pt>
                <c:pt idx="19">
                  <c:v>2.6033454798314457E-2</c:v>
                </c:pt>
                <c:pt idx="20">
                  <c:v>2.6033454798314457E-2</c:v>
                </c:pt>
                <c:pt idx="21">
                  <c:v>2.7069898749013267E-2</c:v>
                </c:pt>
                <c:pt idx="22">
                  <c:v>3.0263266597112284E-2</c:v>
                </c:pt>
                <c:pt idx="23">
                  <c:v>3.6907712681051641E-2</c:v>
                </c:pt>
                <c:pt idx="24">
                  <c:v>3.8213071818958777E-2</c:v>
                </c:pt>
                <c:pt idx="25">
                  <c:v>3.8341927012829444E-2</c:v>
                </c:pt>
                <c:pt idx="26">
                  <c:v>4.0655718102767857E-2</c:v>
                </c:pt>
                <c:pt idx="27">
                  <c:v>4.1417644466524822E-2</c:v>
                </c:pt>
                <c:pt idx="28">
                  <c:v>4.1490475663060411E-2</c:v>
                </c:pt>
                <c:pt idx="29">
                  <c:v>4.2398064419888554E-2</c:v>
                </c:pt>
                <c:pt idx="30">
                  <c:v>4.2711798804964951E-2</c:v>
                </c:pt>
                <c:pt idx="31">
                  <c:v>4.2717401204698455E-2</c:v>
                </c:pt>
                <c:pt idx="32">
                  <c:v>4.2823846799635093E-2</c:v>
                </c:pt>
                <c:pt idx="33">
                  <c:v>4.6073238645069181E-2</c:v>
                </c:pt>
                <c:pt idx="34">
                  <c:v>4.9574738478511085E-2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2F-456A-9B03-63485C52E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299736"/>
        <c:axId val="1"/>
      </c:scatterChart>
      <c:valAx>
        <c:axId val="773299736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3674540682414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45454545454543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299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18200906704842"/>
          <c:y val="0.91874999999999996"/>
          <c:w val="0.7436369362920544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V0959 Cyg - O-C Diagr.</a:t>
            </a:r>
          </a:p>
        </c:rich>
      </c:tx>
      <c:layout>
        <c:manualLayout>
          <c:xMode val="edge"/>
          <c:yMode val="edge"/>
          <c:x val="0.34608436240551893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4124605327523"/>
          <c:y val="0.15047044975517021"/>
          <c:w val="0.79599412994174412"/>
          <c:h val="0.62069060524007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4334</c:v>
                </c:pt>
                <c:pt idx="2">
                  <c:v>4336</c:v>
                </c:pt>
                <c:pt idx="3">
                  <c:v>4500</c:v>
                </c:pt>
                <c:pt idx="4">
                  <c:v>5596</c:v>
                </c:pt>
                <c:pt idx="5">
                  <c:v>5622</c:v>
                </c:pt>
                <c:pt idx="6">
                  <c:v>5844</c:v>
                </c:pt>
                <c:pt idx="7">
                  <c:v>6370</c:v>
                </c:pt>
                <c:pt idx="8">
                  <c:v>6372</c:v>
                </c:pt>
                <c:pt idx="9">
                  <c:v>6448</c:v>
                </c:pt>
                <c:pt idx="10">
                  <c:v>6980</c:v>
                </c:pt>
                <c:pt idx="11">
                  <c:v>7168</c:v>
                </c:pt>
                <c:pt idx="12">
                  <c:v>7170</c:v>
                </c:pt>
                <c:pt idx="13">
                  <c:v>7260</c:v>
                </c:pt>
                <c:pt idx="14">
                  <c:v>8742</c:v>
                </c:pt>
                <c:pt idx="15">
                  <c:v>22122</c:v>
                </c:pt>
                <c:pt idx="16">
                  <c:v>22202</c:v>
                </c:pt>
                <c:pt idx="17">
                  <c:v>22290</c:v>
                </c:pt>
                <c:pt idx="18">
                  <c:v>22702</c:v>
                </c:pt>
                <c:pt idx="19">
                  <c:v>23426</c:v>
                </c:pt>
                <c:pt idx="20">
                  <c:v>23426</c:v>
                </c:pt>
                <c:pt idx="21">
                  <c:v>23796</c:v>
                </c:pt>
                <c:pt idx="22">
                  <c:v>24936</c:v>
                </c:pt>
                <c:pt idx="23">
                  <c:v>27308</c:v>
                </c:pt>
                <c:pt idx="24">
                  <c:v>27774</c:v>
                </c:pt>
                <c:pt idx="25">
                  <c:v>27820</c:v>
                </c:pt>
                <c:pt idx="26">
                  <c:v>28646</c:v>
                </c:pt>
                <c:pt idx="27">
                  <c:v>28918</c:v>
                </c:pt>
                <c:pt idx="28">
                  <c:v>28944</c:v>
                </c:pt>
                <c:pt idx="29">
                  <c:v>29268</c:v>
                </c:pt>
                <c:pt idx="30">
                  <c:v>29380</c:v>
                </c:pt>
                <c:pt idx="31">
                  <c:v>29382</c:v>
                </c:pt>
                <c:pt idx="32">
                  <c:v>29420</c:v>
                </c:pt>
                <c:pt idx="33">
                  <c:v>30580</c:v>
                </c:pt>
                <c:pt idx="34">
                  <c:v>31831.5</c:v>
                </c:pt>
              </c:numCache>
            </c:numRef>
          </c:xVal>
          <c:yVal>
            <c:numRef>
              <c:f>'Active 2'!$H$21:$H$992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22-4EA7-8E3E-95FD98BFE56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4334</c:v>
                </c:pt>
                <c:pt idx="2">
                  <c:v>4336</c:v>
                </c:pt>
                <c:pt idx="3">
                  <c:v>4500</c:v>
                </c:pt>
                <c:pt idx="4">
                  <c:v>5596</c:v>
                </c:pt>
                <c:pt idx="5">
                  <c:v>5622</c:v>
                </c:pt>
                <c:pt idx="6">
                  <c:v>5844</c:v>
                </c:pt>
                <c:pt idx="7">
                  <c:v>6370</c:v>
                </c:pt>
                <c:pt idx="8">
                  <c:v>6372</c:v>
                </c:pt>
                <c:pt idx="9">
                  <c:v>6448</c:v>
                </c:pt>
                <c:pt idx="10">
                  <c:v>6980</c:v>
                </c:pt>
                <c:pt idx="11">
                  <c:v>7168</c:v>
                </c:pt>
                <c:pt idx="12">
                  <c:v>7170</c:v>
                </c:pt>
                <c:pt idx="13">
                  <c:v>7260</c:v>
                </c:pt>
                <c:pt idx="14">
                  <c:v>8742</c:v>
                </c:pt>
                <c:pt idx="15">
                  <c:v>22122</c:v>
                </c:pt>
                <c:pt idx="16">
                  <c:v>22202</c:v>
                </c:pt>
                <c:pt idx="17">
                  <c:v>22290</c:v>
                </c:pt>
                <c:pt idx="18">
                  <c:v>22702</c:v>
                </c:pt>
                <c:pt idx="19">
                  <c:v>23426</c:v>
                </c:pt>
                <c:pt idx="20">
                  <c:v>23426</c:v>
                </c:pt>
                <c:pt idx="21">
                  <c:v>23796</c:v>
                </c:pt>
                <c:pt idx="22">
                  <c:v>24936</c:v>
                </c:pt>
                <c:pt idx="23">
                  <c:v>27308</c:v>
                </c:pt>
                <c:pt idx="24">
                  <c:v>27774</c:v>
                </c:pt>
                <c:pt idx="25">
                  <c:v>27820</c:v>
                </c:pt>
                <c:pt idx="26">
                  <c:v>28646</c:v>
                </c:pt>
                <c:pt idx="27">
                  <c:v>28918</c:v>
                </c:pt>
                <c:pt idx="28">
                  <c:v>28944</c:v>
                </c:pt>
                <c:pt idx="29">
                  <c:v>29268</c:v>
                </c:pt>
                <c:pt idx="30">
                  <c:v>29380</c:v>
                </c:pt>
                <c:pt idx="31">
                  <c:v>29382</c:v>
                </c:pt>
                <c:pt idx="32">
                  <c:v>29420</c:v>
                </c:pt>
                <c:pt idx="33">
                  <c:v>30580</c:v>
                </c:pt>
                <c:pt idx="34">
                  <c:v>31831.5</c:v>
                </c:pt>
              </c:numCache>
            </c:numRef>
          </c:xVal>
          <c:yVal>
            <c:numRef>
              <c:f>'Active 2'!$I$21:$I$992</c:f>
              <c:numCache>
                <c:formatCode>General</c:formatCode>
                <c:ptCount val="972"/>
                <c:pt idx="1">
                  <c:v>0.19062660000417964</c:v>
                </c:pt>
                <c:pt idx="2">
                  <c:v>0.20580640000116546</c:v>
                </c:pt>
                <c:pt idx="3">
                  <c:v>0.1705500000025495</c:v>
                </c:pt>
                <c:pt idx="4">
                  <c:v>0.18608039999526227</c:v>
                </c:pt>
                <c:pt idx="5">
                  <c:v>0.18641780000325525</c:v>
                </c:pt>
                <c:pt idx="6">
                  <c:v>0.18437560000165831</c:v>
                </c:pt>
                <c:pt idx="7">
                  <c:v>0.16866299999674084</c:v>
                </c:pt>
                <c:pt idx="8">
                  <c:v>0.18384280000464059</c:v>
                </c:pt>
                <c:pt idx="9">
                  <c:v>0.17567520000011427</c:v>
                </c:pt>
                <c:pt idx="10">
                  <c:v>0.18350199999986216</c:v>
                </c:pt>
                <c:pt idx="11">
                  <c:v>0.17040320000523934</c:v>
                </c:pt>
                <c:pt idx="12">
                  <c:v>0.19758300000103191</c:v>
                </c:pt>
                <c:pt idx="13">
                  <c:v>0.19667399999889312</c:v>
                </c:pt>
                <c:pt idx="14">
                  <c:v>0.18590580000454793</c:v>
                </c:pt>
                <c:pt idx="17">
                  <c:v>0.14987100000871578</c:v>
                </c:pt>
                <c:pt idx="18">
                  <c:v>0.13890979999996489</c:v>
                </c:pt>
                <c:pt idx="19">
                  <c:v>0.14299739999842132</c:v>
                </c:pt>
                <c:pt idx="22">
                  <c:v>0.13974640000378713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22-4EA7-8E3E-95FD98BFE56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4334</c:v>
                </c:pt>
                <c:pt idx="2">
                  <c:v>4336</c:v>
                </c:pt>
                <c:pt idx="3">
                  <c:v>4500</c:v>
                </c:pt>
                <c:pt idx="4">
                  <c:v>5596</c:v>
                </c:pt>
                <c:pt idx="5">
                  <c:v>5622</c:v>
                </c:pt>
                <c:pt idx="6">
                  <c:v>5844</c:v>
                </c:pt>
                <c:pt idx="7">
                  <c:v>6370</c:v>
                </c:pt>
                <c:pt idx="8">
                  <c:v>6372</c:v>
                </c:pt>
                <c:pt idx="9">
                  <c:v>6448</c:v>
                </c:pt>
                <c:pt idx="10">
                  <c:v>6980</c:v>
                </c:pt>
                <c:pt idx="11">
                  <c:v>7168</c:v>
                </c:pt>
                <c:pt idx="12">
                  <c:v>7170</c:v>
                </c:pt>
                <c:pt idx="13">
                  <c:v>7260</c:v>
                </c:pt>
                <c:pt idx="14">
                  <c:v>8742</c:v>
                </c:pt>
                <c:pt idx="15">
                  <c:v>22122</c:v>
                </c:pt>
                <c:pt idx="16">
                  <c:v>22202</c:v>
                </c:pt>
                <c:pt idx="17">
                  <c:v>22290</c:v>
                </c:pt>
                <c:pt idx="18">
                  <c:v>22702</c:v>
                </c:pt>
                <c:pt idx="19">
                  <c:v>23426</c:v>
                </c:pt>
                <c:pt idx="20">
                  <c:v>23426</c:v>
                </c:pt>
                <c:pt idx="21">
                  <c:v>23796</c:v>
                </c:pt>
                <c:pt idx="22">
                  <c:v>24936</c:v>
                </c:pt>
                <c:pt idx="23">
                  <c:v>27308</c:v>
                </c:pt>
                <c:pt idx="24">
                  <c:v>27774</c:v>
                </c:pt>
                <c:pt idx="25">
                  <c:v>27820</c:v>
                </c:pt>
                <c:pt idx="26">
                  <c:v>28646</c:v>
                </c:pt>
                <c:pt idx="27">
                  <c:v>28918</c:v>
                </c:pt>
                <c:pt idx="28">
                  <c:v>28944</c:v>
                </c:pt>
                <c:pt idx="29">
                  <c:v>29268</c:v>
                </c:pt>
                <c:pt idx="30">
                  <c:v>29380</c:v>
                </c:pt>
                <c:pt idx="31">
                  <c:v>29382</c:v>
                </c:pt>
                <c:pt idx="32">
                  <c:v>29420</c:v>
                </c:pt>
                <c:pt idx="33">
                  <c:v>30580</c:v>
                </c:pt>
                <c:pt idx="34">
                  <c:v>31831.5</c:v>
                </c:pt>
              </c:numCache>
            </c:numRef>
          </c:xVal>
          <c:yVal>
            <c:numRef>
              <c:f>'Active 2'!$J$21:$J$992</c:f>
              <c:numCache>
                <c:formatCode>General</c:formatCode>
                <c:ptCount val="972"/>
                <c:pt idx="15">
                  <c:v>0.15206780000153231</c:v>
                </c:pt>
                <c:pt idx="16">
                  <c:v>0.15225980000104755</c:v>
                </c:pt>
                <c:pt idx="20">
                  <c:v>0.14359739999781596</c:v>
                </c:pt>
                <c:pt idx="23">
                  <c:v>0.13398920000327053</c:v>
                </c:pt>
                <c:pt idx="26">
                  <c:v>0.13467540000419831</c:v>
                </c:pt>
                <c:pt idx="27">
                  <c:v>0.13472820000606589</c:v>
                </c:pt>
                <c:pt idx="33">
                  <c:v>0.1300420000043232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22-4EA7-8E3E-95FD98BFE56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4334</c:v>
                </c:pt>
                <c:pt idx="2">
                  <c:v>4336</c:v>
                </c:pt>
                <c:pt idx="3">
                  <c:v>4500</c:v>
                </c:pt>
                <c:pt idx="4">
                  <c:v>5596</c:v>
                </c:pt>
                <c:pt idx="5">
                  <c:v>5622</c:v>
                </c:pt>
                <c:pt idx="6">
                  <c:v>5844</c:v>
                </c:pt>
                <c:pt idx="7">
                  <c:v>6370</c:v>
                </c:pt>
                <c:pt idx="8">
                  <c:v>6372</c:v>
                </c:pt>
                <c:pt idx="9">
                  <c:v>6448</c:v>
                </c:pt>
                <c:pt idx="10">
                  <c:v>6980</c:v>
                </c:pt>
                <c:pt idx="11">
                  <c:v>7168</c:v>
                </c:pt>
                <c:pt idx="12">
                  <c:v>7170</c:v>
                </c:pt>
                <c:pt idx="13">
                  <c:v>7260</c:v>
                </c:pt>
                <c:pt idx="14">
                  <c:v>8742</c:v>
                </c:pt>
                <c:pt idx="15">
                  <c:v>22122</c:v>
                </c:pt>
                <c:pt idx="16">
                  <c:v>22202</c:v>
                </c:pt>
                <c:pt idx="17">
                  <c:v>22290</c:v>
                </c:pt>
                <c:pt idx="18">
                  <c:v>22702</c:v>
                </c:pt>
                <c:pt idx="19">
                  <c:v>23426</c:v>
                </c:pt>
                <c:pt idx="20">
                  <c:v>23426</c:v>
                </c:pt>
                <c:pt idx="21">
                  <c:v>23796</c:v>
                </c:pt>
                <c:pt idx="22">
                  <c:v>24936</c:v>
                </c:pt>
                <c:pt idx="23">
                  <c:v>27308</c:v>
                </c:pt>
                <c:pt idx="24">
                  <c:v>27774</c:v>
                </c:pt>
                <c:pt idx="25">
                  <c:v>27820</c:v>
                </c:pt>
                <c:pt idx="26">
                  <c:v>28646</c:v>
                </c:pt>
                <c:pt idx="27">
                  <c:v>28918</c:v>
                </c:pt>
                <c:pt idx="28">
                  <c:v>28944</c:v>
                </c:pt>
                <c:pt idx="29">
                  <c:v>29268</c:v>
                </c:pt>
                <c:pt idx="30">
                  <c:v>29380</c:v>
                </c:pt>
                <c:pt idx="31">
                  <c:v>29382</c:v>
                </c:pt>
                <c:pt idx="32">
                  <c:v>29420</c:v>
                </c:pt>
                <c:pt idx="33">
                  <c:v>30580</c:v>
                </c:pt>
                <c:pt idx="34">
                  <c:v>31831.5</c:v>
                </c:pt>
              </c:numCache>
            </c:numRef>
          </c:xVal>
          <c:yVal>
            <c:numRef>
              <c:f>'Active 2'!$K$21:$K$992</c:f>
              <c:numCache>
                <c:formatCode>General</c:formatCode>
                <c:ptCount val="972"/>
                <c:pt idx="21">
                  <c:v>0.14376040000206558</c:v>
                </c:pt>
                <c:pt idx="24">
                  <c:v>0.13358259999949951</c:v>
                </c:pt>
                <c:pt idx="25">
                  <c:v>0.14061800000490621</c:v>
                </c:pt>
                <c:pt idx="28">
                  <c:v>0.13226559999748133</c:v>
                </c:pt>
                <c:pt idx="29">
                  <c:v>0.13222319999476895</c:v>
                </c:pt>
                <c:pt idx="30">
                  <c:v>0.13256199999887031</c:v>
                </c:pt>
                <c:pt idx="31">
                  <c:v>0.13335180000285618</c:v>
                </c:pt>
                <c:pt idx="32">
                  <c:v>0.13158800000383053</c:v>
                </c:pt>
                <c:pt idx="34">
                  <c:v>0.1212518500033184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22-4EA7-8E3E-95FD98BFE56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4334</c:v>
                </c:pt>
                <c:pt idx="2">
                  <c:v>4336</c:v>
                </c:pt>
                <c:pt idx="3">
                  <c:v>4500</c:v>
                </c:pt>
                <c:pt idx="4">
                  <c:v>5596</c:v>
                </c:pt>
                <c:pt idx="5">
                  <c:v>5622</c:v>
                </c:pt>
                <c:pt idx="6">
                  <c:v>5844</c:v>
                </c:pt>
                <c:pt idx="7">
                  <c:v>6370</c:v>
                </c:pt>
                <c:pt idx="8">
                  <c:v>6372</c:v>
                </c:pt>
                <c:pt idx="9">
                  <c:v>6448</c:v>
                </c:pt>
                <c:pt idx="10">
                  <c:v>6980</c:v>
                </c:pt>
                <c:pt idx="11">
                  <c:v>7168</c:v>
                </c:pt>
                <c:pt idx="12">
                  <c:v>7170</c:v>
                </c:pt>
                <c:pt idx="13">
                  <c:v>7260</c:v>
                </c:pt>
                <c:pt idx="14">
                  <c:v>8742</c:v>
                </c:pt>
                <c:pt idx="15">
                  <c:v>22122</c:v>
                </c:pt>
                <c:pt idx="16">
                  <c:v>22202</c:v>
                </c:pt>
                <c:pt idx="17">
                  <c:v>22290</c:v>
                </c:pt>
                <c:pt idx="18">
                  <c:v>22702</c:v>
                </c:pt>
                <c:pt idx="19">
                  <c:v>23426</c:v>
                </c:pt>
                <c:pt idx="20">
                  <c:v>23426</c:v>
                </c:pt>
                <c:pt idx="21">
                  <c:v>23796</c:v>
                </c:pt>
                <c:pt idx="22">
                  <c:v>24936</c:v>
                </c:pt>
                <c:pt idx="23">
                  <c:v>27308</c:v>
                </c:pt>
                <c:pt idx="24">
                  <c:v>27774</c:v>
                </c:pt>
                <c:pt idx="25">
                  <c:v>27820</c:v>
                </c:pt>
                <c:pt idx="26">
                  <c:v>28646</c:v>
                </c:pt>
                <c:pt idx="27">
                  <c:v>28918</c:v>
                </c:pt>
                <c:pt idx="28">
                  <c:v>28944</c:v>
                </c:pt>
                <c:pt idx="29">
                  <c:v>29268</c:v>
                </c:pt>
                <c:pt idx="30">
                  <c:v>29380</c:v>
                </c:pt>
                <c:pt idx="31">
                  <c:v>29382</c:v>
                </c:pt>
                <c:pt idx="32">
                  <c:v>29420</c:v>
                </c:pt>
                <c:pt idx="33">
                  <c:v>30580</c:v>
                </c:pt>
                <c:pt idx="34">
                  <c:v>31831.5</c:v>
                </c:pt>
              </c:numCache>
            </c:numRef>
          </c:xVal>
          <c:yVal>
            <c:numRef>
              <c:f>'Active 2'!$L$21:$L$992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22-4EA7-8E3E-95FD98BFE56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4334</c:v>
                </c:pt>
                <c:pt idx="2">
                  <c:v>4336</c:v>
                </c:pt>
                <c:pt idx="3">
                  <c:v>4500</c:v>
                </c:pt>
                <c:pt idx="4">
                  <c:v>5596</c:v>
                </c:pt>
                <c:pt idx="5">
                  <c:v>5622</c:v>
                </c:pt>
                <c:pt idx="6">
                  <c:v>5844</c:v>
                </c:pt>
                <c:pt idx="7">
                  <c:v>6370</c:v>
                </c:pt>
                <c:pt idx="8">
                  <c:v>6372</c:v>
                </c:pt>
                <c:pt idx="9">
                  <c:v>6448</c:v>
                </c:pt>
                <c:pt idx="10">
                  <c:v>6980</c:v>
                </c:pt>
                <c:pt idx="11">
                  <c:v>7168</c:v>
                </c:pt>
                <c:pt idx="12">
                  <c:v>7170</c:v>
                </c:pt>
                <c:pt idx="13">
                  <c:v>7260</c:v>
                </c:pt>
                <c:pt idx="14">
                  <c:v>8742</c:v>
                </c:pt>
                <c:pt idx="15">
                  <c:v>22122</c:v>
                </c:pt>
                <c:pt idx="16">
                  <c:v>22202</c:v>
                </c:pt>
                <c:pt idx="17">
                  <c:v>22290</c:v>
                </c:pt>
                <c:pt idx="18">
                  <c:v>22702</c:v>
                </c:pt>
                <c:pt idx="19">
                  <c:v>23426</c:v>
                </c:pt>
                <c:pt idx="20">
                  <c:v>23426</c:v>
                </c:pt>
                <c:pt idx="21">
                  <c:v>23796</c:v>
                </c:pt>
                <c:pt idx="22">
                  <c:v>24936</c:v>
                </c:pt>
                <c:pt idx="23">
                  <c:v>27308</c:v>
                </c:pt>
                <c:pt idx="24">
                  <c:v>27774</c:v>
                </c:pt>
                <c:pt idx="25">
                  <c:v>27820</c:v>
                </c:pt>
                <c:pt idx="26">
                  <c:v>28646</c:v>
                </c:pt>
                <c:pt idx="27">
                  <c:v>28918</c:v>
                </c:pt>
                <c:pt idx="28">
                  <c:v>28944</c:v>
                </c:pt>
                <c:pt idx="29">
                  <c:v>29268</c:v>
                </c:pt>
                <c:pt idx="30">
                  <c:v>29380</c:v>
                </c:pt>
                <c:pt idx="31">
                  <c:v>29382</c:v>
                </c:pt>
                <c:pt idx="32">
                  <c:v>29420</c:v>
                </c:pt>
                <c:pt idx="33">
                  <c:v>30580</c:v>
                </c:pt>
                <c:pt idx="34">
                  <c:v>31831.5</c:v>
                </c:pt>
              </c:numCache>
            </c:numRef>
          </c:xVal>
          <c:yVal>
            <c:numRef>
              <c:f>'Active 2'!$M$21:$M$992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22-4EA7-8E3E-95FD98BFE56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0">
                    <c:v>0</c:v>
                  </c:pt>
                  <c:pt idx="15">
                    <c:v>1.5E-3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2.5000000000000001E-3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0</c:v>
                  </c:pt>
                  <c:pt idx="23">
                    <c:v>6.9999999999999999E-4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1.5E-3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2.5999999999999999E-3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4334</c:v>
                </c:pt>
                <c:pt idx="2">
                  <c:v>4336</c:v>
                </c:pt>
                <c:pt idx="3">
                  <c:v>4500</c:v>
                </c:pt>
                <c:pt idx="4">
                  <c:v>5596</c:v>
                </c:pt>
                <c:pt idx="5">
                  <c:v>5622</c:v>
                </c:pt>
                <c:pt idx="6">
                  <c:v>5844</c:v>
                </c:pt>
                <c:pt idx="7">
                  <c:v>6370</c:v>
                </c:pt>
                <c:pt idx="8">
                  <c:v>6372</c:v>
                </c:pt>
                <c:pt idx="9">
                  <c:v>6448</c:v>
                </c:pt>
                <c:pt idx="10">
                  <c:v>6980</c:v>
                </c:pt>
                <c:pt idx="11">
                  <c:v>7168</c:v>
                </c:pt>
                <c:pt idx="12">
                  <c:v>7170</c:v>
                </c:pt>
                <c:pt idx="13">
                  <c:v>7260</c:v>
                </c:pt>
                <c:pt idx="14">
                  <c:v>8742</c:v>
                </c:pt>
                <c:pt idx="15">
                  <c:v>22122</c:v>
                </c:pt>
                <c:pt idx="16">
                  <c:v>22202</c:v>
                </c:pt>
                <c:pt idx="17">
                  <c:v>22290</c:v>
                </c:pt>
                <c:pt idx="18">
                  <c:v>22702</c:v>
                </c:pt>
                <c:pt idx="19">
                  <c:v>23426</c:v>
                </c:pt>
                <c:pt idx="20">
                  <c:v>23426</c:v>
                </c:pt>
                <c:pt idx="21">
                  <c:v>23796</c:v>
                </c:pt>
                <c:pt idx="22">
                  <c:v>24936</c:v>
                </c:pt>
                <c:pt idx="23">
                  <c:v>27308</c:v>
                </c:pt>
                <c:pt idx="24">
                  <c:v>27774</c:v>
                </c:pt>
                <c:pt idx="25">
                  <c:v>27820</c:v>
                </c:pt>
                <c:pt idx="26">
                  <c:v>28646</c:v>
                </c:pt>
                <c:pt idx="27">
                  <c:v>28918</c:v>
                </c:pt>
                <c:pt idx="28">
                  <c:v>28944</c:v>
                </c:pt>
                <c:pt idx="29">
                  <c:v>29268</c:v>
                </c:pt>
                <c:pt idx="30">
                  <c:v>29380</c:v>
                </c:pt>
                <c:pt idx="31">
                  <c:v>29382</c:v>
                </c:pt>
                <c:pt idx="32">
                  <c:v>29420</c:v>
                </c:pt>
                <c:pt idx="33">
                  <c:v>30580</c:v>
                </c:pt>
                <c:pt idx="34">
                  <c:v>31831.5</c:v>
                </c:pt>
              </c:numCache>
            </c:numRef>
          </c:xVal>
          <c:yVal>
            <c:numRef>
              <c:f>'Active 2'!$N$21:$N$992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22-4EA7-8E3E-95FD98BFE56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4334</c:v>
                </c:pt>
                <c:pt idx="2">
                  <c:v>4336</c:v>
                </c:pt>
                <c:pt idx="3">
                  <c:v>4500</c:v>
                </c:pt>
                <c:pt idx="4">
                  <c:v>5596</c:v>
                </c:pt>
                <c:pt idx="5">
                  <c:v>5622</c:v>
                </c:pt>
                <c:pt idx="6">
                  <c:v>5844</c:v>
                </c:pt>
                <c:pt idx="7">
                  <c:v>6370</c:v>
                </c:pt>
                <c:pt idx="8">
                  <c:v>6372</c:v>
                </c:pt>
                <c:pt idx="9">
                  <c:v>6448</c:v>
                </c:pt>
                <c:pt idx="10">
                  <c:v>6980</c:v>
                </c:pt>
                <c:pt idx="11">
                  <c:v>7168</c:v>
                </c:pt>
                <c:pt idx="12">
                  <c:v>7170</c:v>
                </c:pt>
                <c:pt idx="13">
                  <c:v>7260</c:v>
                </c:pt>
                <c:pt idx="14">
                  <c:v>8742</c:v>
                </c:pt>
                <c:pt idx="15">
                  <c:v>22122</c:v>
                </c:pt>
                <c:pt idx="16">
                  <c:v>22202</c:v>
                </c:pt>
                <c:pt idx="17">
                  <c:v>22290</c:v>
                </c:pt>
                <c:pt idx="18">
                  <c:v>22702</c:v>
                </c:pt>
                <c:pt idx="19">
                  <c:v>23426</c:v>
                </c:pt>
                <c:pt idx="20">
                  <c:v>23426</c:v>
                </c:pt>
                <c:pt idx="21">
                  <c:v>23796</c:v>
                </c:pt>
                <c:pt idx="22">
                  <c:v>24936</c:v>
                </c:pt>
                <c:pt idx="23">
                  <c:v>27308</c:v>
                </c:pt>
                <c:pt idx="24">
                  <c:v>27774</c:v>
                </c:pt>
                <c:pt idx="25">
                  <c:v>27820</c:v>
                </c:pt>
                <c:pt idx="26">
                  <c:v>28646</c:v>
                </c:pt>
                <c:pt idx="27">
                  <c:v>28918</c:v>
                </c:pt>
                <c:pt idx="28">
                  <c:v>28944</c:v>
                </c:pt>
                <c:pt idx="29">
                  <c:v>29268</c:v>
                </c:pt>
                <c:pt idx="30">
                  <c:v>29380</c:v>
                </c:pt>
                <c:pt idx="31">
                  <c:v>29382</c:v>
                </c:pt>
                <c:pt idx="32">
                  <c:v>29420</c:v>
                </c:pt>
                <c:pt idx="33">
                  <c:v>30580</c:v>
                </c:pt>
                <c:pt idx="34">
                  <c:v>31831.5</c:v>
                </c:pt>
              </c:numCache>
            </c:numRef>
          </c:xVal>
          <c:yVal>
            <c:numRef>
              <c:f>'Active 2'!$O$21:$O$992</c:f>
              <c:numCache>
                <c:formatCode>General</c:formatCode>
                <c:ptCount val="972"/>
                <c:pt idx="0">
                  <c:v>0.1987689339114192</c:v>
                </c:pt>
                <c:pt idx="1">
                  <c:v>0.18887158791055289</c:v>
                </c:pt>
                <c:pt idx="2">
                  <c:v>0.18886702060736837</c:v>
                </c:pt>
                <c:pt idx="3">
                  <c:v>0.1884925017462373</c:v>
                </c:pt>
                <c:pt idx="4">
                  <c:v>0.18598961960111743</c:v>
                </c:pt>
                <c:pt idx="5">
                  <c:v>0.18593024465971861</c:v>
                </c:pt>
                <c:pt idx="6">
                  <c:v>0.18542327400623629</c:v>
                </c:pt>
                <c:pt idx="7">
                  <c:v>0.18422207326870615</c:v>
                </c:pt>
                <c:pt idx="8">
                  <c:v>0.18421750596552161</c:v>
                </c:pt>
                <c:pt idx="9">
                  <c:v>0.18404394844450966</c:v>
                </c:pt>
                <c:pt idx="10">
                  <c:v>0.18282904579742593</c:v>
                </c:pt>
                <c:pt idx="11">
                  <c:v>0.18239971929808055</c:v>
                </c:pt>
                <c:pt idx="12">
                  <c:v>0.18239515199489603</c:v>
                </c:pt>
                <c:pt idx="13">
                  <c:v>0.18218962335159239</c:v>
                </c:pt>
                <c:pt idx="14">
                  <c:v>0.17880525169185915</c:v>
                </c:pt>
                <c:pt idx="15">
                  <c:v>0.14824999338738495</c:v>
                </c:pt>
                <c:pt idx="16">
                  <c:v>0.14806730126000395</c:v>
                </c:pt>
                <c:pt idx="17">
                  <c:v>0.14786633991988482</c:v>
                </c:pt>
                <c:pt idx="18">
                  <c:v>0.14692547546387261</c:v>
                </c:pt>
                <c:pt idx="19">
                  <c:v>0.14527211171107446</c:v>
                </c:pt>
                <c:pt idx="20">
                  <c:v>0.14527211171107446</c:v>
                </c:pt>
                <c:pt idx="21">
                  <c:v>0.14442716062193728</c:v>
                </c:pt>
                <c:pt idx="22">
                  <c:v>0.14182379780675786</c:v>
                </c:pt>
                <c:pt idx="23">
                  <c:v>0.13640697622991088</c:v>
                </c:pt>
                <c:pt idx="24">
                  <c:v>0.13534279458791648</c:v>
                </c:pt>
                <c:pt idx="25">
                  <c:v>0.13523774661467239</c:v>
                </c:pt>
                <c:pt idx="26">
                  <c:v>0.13335145039946344</c:v>
                </c:pt>
                <c:pt idx="27">
                  <c:v>0.132730297166368</c:v>
                </c:pt>
                <c:pt idx="28">
                  <c:v>0.13267092222496918</c:v>
                </c:pt>
                <c:pt idx="29">
                  <c:v>0.13193101910907606</c:v>
                </c:pt>
                <c:pt idx="30">
                  <c:v>0.13167525013074266</c:v>
                </c:pt>
                <c:pt idx="31">
                  <c:v>0.13167068282755814</c:v>
                </c:pt>
                <c:pt idx="32">
                  <c:v>0.13158390406705217</c:v>
                </c:pt>
                <c:pt idx="33">
                  <c:v>0.12893486822002748</c:v>
                </c:pt>
                <c:pt idx="34">
                  <c:v>0.12607687825231079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22-4EA7-8E3E-95FD98BFE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308016"/>
        <c:axId val="1"/>
      </c:scatterChart>
      <c:valAx>
        <c:axId val="773308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12663922474178"/>
              <c:y val="0.83385711582290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3315118397086E-2"/>
              <c:y val="0.366771818099540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308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304227681922271"/>
          <c:y val="0.91849661425550644"/>
          <c:w val="0.7449922311623615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V959 Cyg - O-C Diagr.</a:t>
            </a:r>
          </a:p>
        </c:rich>
      </c:tx>
      <c:layout>
        <c:manualLayout>
          <c:xMode val="edge"/>
          <c:yMode val="edge"/>
          <c:x val="0.34608436240551893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82723351269623"/>
          <c:y val="0.15189896889056456"/>
          <c:w val="0.78870814248232313"/>
          <c:h val="0.617089561117918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27106</c:v>
                </c:pt>
                <c:pt idx="2">
                  <c:v>27311.5</c:v>
                </c:pt>
                <c:pt idx="3">
                  <c:v>27816.5</c:v>
                </c:pt>
                <c:pt idx="4">
                  <c:v>28703.5</c:v>
                </c:pt>
                <c:pt idx="5">
                  <c:v>33460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21-475F-9421-EE39D61C11C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fixedVal"/>
            <c:noEndCap val="0"/>
            <c:val val="0.02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27106</c:v>
                </c:pt>
                <c:pt idx="2">
                  <c:v>27311.5</c:v>
                </c:pt>
                <c:pt idx="3">
                  <c:v>27816.5</c:v>
                </c:pt>
                <c:pt idx="4">
                  <c:v>28703.5</c:v>
                </c:pt>
                <c:pt idx="5">
                  <c:v>33460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2">
                  <c:v>0.14639405000343686</c:v>
                </c:pt>
                <c:pt idx="3">
                  <c:v>-3.1324499941547401E-3</c:v>
                </c:pt>
                <c:pt idx="4">
                  <c:v>7.817645000613993E-2</c:v>
                </c:pt>
                <c:pt idx="5">
                  <c:v>9.7461999997904059E-2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21-475F-9421-EE39D61C11C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27106</c:v>
                </c:pt>
                <c:pt idx="2">
                  <c:v>27311.5</c:v>
                </c:pt>
                <c:pt idx="3">
                  <c:v>27816.5</c:v>
                </c:pt>
                <c:pt idx="4">
                  <c:v>28703.5</c:v>
                </c:pt>
                <c:pt idx="5">
                  <c:v>33460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1">
                  <c:v>-0.1119818000079249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21-475F-9421-EE39D61C11C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27106</c:v>
                </c:pt>
                <c:pt idx="2">
                  <c:v>27311.5</c:v>
                </c:pt>
                <c:pt idx="3">
                  <c:v>27816.5</c:v>
                </c:pt>
                <c:pt idx="4">
                  <c:v>28703.5</c:v>
                </c:pt>
                <c:pt idx="5">
                  <c:v>33460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21-475F-9421-EE39D61C11C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27106</c:v>
                </c:pt>
                <c:pt idx="2">
                  <c:v>27311.5</c:v>
                </c:pt>
                <c:pt idx="3">
                  <c:v>27816.5</c:v>
                </c:pt>
                <c:pt idx="4">
                  <c:v>28703.5</c:v>
                </c:pt>
                <c:pt idx="5">
                  <c:v>33460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21-475F-9421-EE39D61C11C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27106</c:v>
                </c:pt>
                <c:pt idx="2">
                  <c:v>27311.5</c:v>
                </c:pt>
                <c:pt idx="3">
                  <c:v>27816.5</c:v>
                </c:pt>
                <c:pt idx="4">
                  <c:v>28703.5</c:v>
                </c:pt>
                <c:pt idx="5">
                  <c:v>33460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21-475F-9421-EE39D61C11C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27106</c:v>
                </c:pt>
                <c:pt idx="2">
                  <c:v>27311.5</c:v>
                </c:pt>
                <c:pt idx="3">
                  <c:v>27816.5</c:v>
                </c:pt>
                <c:pt idx="4">
                  <c:v>28703.5</c:v>
                </c:pt>
                <c:pt idx="5">
                  <c:v>33460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21-475F-9421-EE39D61C11C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27106</c:v>
                </c:pt>
                <c:pt idx="2">
                  <c:v>27311.5</c:v>
                </c:pt>
                <c:pt idx="3">
                  <c:v>27816.5</c:v>
                </c:pt>
                <c:pt idx="4">
                  <c:v>28703.5</c:v>
                </c:pt>
                <c:pt idx="5">
                  <c:v>33460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-1.2163203362314946E-2</c:v>
                </c:pt>
                <c:pt idx="1">
                  <c:v>4.0378570745130536E-2</c:v>
                </c:pt>
                <c:pt idx="2">
                  <c:v>4.0776908182564311E-2</c:v>
                </c:pt>
                <c:pt idx="3">
                  <c:v>4.1755790936355355E-2</c:v>
                </c:pt>
                <c:pt idx="4">
                  <c:v>4.347513549598437E-2</c:v>
                </c:pt>
                <c:pt idx="5">
                  <c:v>5.2695048007681579E-2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21-475F-9421-EE39D61C1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622232"/>
        <c:axId val="1"/>
      </c:scatterChart>
      <c:valAx>
        <c:axId val="766622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6962647428638"/>
              <c:y val="0.8322798099604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3315118397086E-2"/>
              <c:y val="0.36392471510681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622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750474496698841"/>
          <c:y val="0.91772284793514725"/>
          <c:w val="0.97085782309998125"/>
          <c:h val="0.981013987175653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342900</xdr:colOff>
      <xdr:row>18</xdr:row>
      <xdr:rowOff>57150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E314CB32-D485-3C02-664D-D72193D5E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0</xdr:row>
      <xdr:rowOff>0</xdr:rowOff>
    </xdr:from>
    <xdr:to>
      <xdr:col>27</xdr:col>
      <xdr:colOff>266700</xdr:colOff>
      <xdr:row>17</xdr:row>
      <xdr:rowOff>152400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AE9E435B-B08F-8823-9B0C-1673E0E9C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20</xdr:col>
      <xdr:colOff>552450</xdr:colOff>
      <xdr:row>18</xdr:row>
      <xdr:rowOff>114300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2D06F65E-E05C-70F8-D693-EB1CA02DD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0</xdr:rowOff>
    </xdr:from>
    <xdr:to>
      <xdr:col>13</xdr:col>
      <xdr:colOff>161925</xdr:colOff>
      <xdr:row>17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F20FADE-7C55-2998-D2C3-6B5951C19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4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745" TargetMode="External"/><Relationship Id="rId7" Type="http://schemas.openxmlformats.org/officeDocument/2006/relationships/hyperlink" Target="http://www.bav-astro.de/sfs/BAVM_link.php?BAVMnr=193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68" TargetMode="External"/><Relationship Id="rId1" Type="http://schemas.openxmlformats.org/officeDocument/2006/relationships/hyperlink" Target="http://www.konkoly.hu/cgi-bin/IBVS?3903" TargetMode="External"/><Relationship Id="rId6" Type="http://schemas.openxmlformats.org/officeDocument/2006/relationships/hyperlink" Target="http://vsolj.cetus-net.org/no46.pdf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713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konkoly.hu/cgi-bin/IBVS?5988" TargetMode="External"/><Relationship Id="rId4" Type="http://schemas.openxmlformats.org/officeDocument/2006/relationships/hyperlink" Target="http://www.konkoly.hu/cgi-bin/IBVS?5741" TargetMode="External"/><Relationship Id="rId9" Type="http://schemas.openxmlformats.org/officeDocument/2006/relationships/hyperlink" Target="http://www.bav-astro.de/sfs/BAVM_link.php?BAVMnr=214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F62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>
      <c r="A1" s="1" t="s">
        <v>56</v>
      </c>
    </row>
    <row r="2" spans="1:6">
      <c r="A2" t="s">
        <v>26</v>
      </c>
      <c r="B2" s="10" t="s">
        <v>38</v>
      </c>
    </row>
    <row r="4" spans="1:6" ht="14.25" thickTop="1" thickBot="1">
      <c r="A4" s="7" t="s">
        <v>0</v>
      </c>
      <c r="C4" s="3">
        <v>33922.411999999997</v>
      </c>
      <c r="D4" s="65">
        <v>1.8398201999999999</v>
      </c>
      <c r="E4" s="66" t="s">
        <v>214</v>
      </c>
    </row>
    <row r="5" spans="1:6" ht="13.5" thickTop="1">
      <c r="A5" s="26" t="s">
        <v>45</v>
      </c>
      <c r="B5" s="27"/>
      <c r="C5" s="28">
        <v>-9.5</v>
      </c>
      <c r="D5" s="27" t="s">
        <v>46</v>
      </c>
    </row>
    <row r="6" spans="1:6">
      <c r="A6" s="7" t="s">
        <v>1</v>
      </c>
    </row>
    <row r="7" spans="1:6">
      <c r="A7" t="s">
        <v>2</v>
      </c>
      <c r="C7">
        <f>+C4</f>
        <v>33922.411999999997</v>
      </c>
    </row>
    <row r="8" spans="1:6">
      <c r="A8" t="s">
        <v>3</v>
      </c>
      <c r="C8" s="22">
        <v>1.8398201999999999</v>
      </c>
      <c r="D8" s="23" t="s">
        <v>43</v>
      </c>
    </row>
    <row r="9" spans="1:6">
      <c r="A9" s="39" t="s">
        <v>53</v>
      </c>
      <c r="B9" s="40">
        <v>22</v>
      </c>
      <c r="C9" s="38" t="str">
        <f>"F"&amp;B9</f>
        <v>F22</v>
      </c>
      <c r="D9" s="20" t="str">
        <f>"G"&amp;B9</f>
        <v>G22</v>
      </c>
    </row>
    <row r="10" spans="1:6" ht="13.5" thickBot="1">
      <c r="A10" s="27"/>
      <c r="B10" s="27"/>
      <c r="C10" s="6" t="s">
        <v>21</v>
      </c>
      <c r="D10" s="6" t="s">
        <v>22</v>
      </c>
      <c r="E10" s="27"/>
    </row>
    <row r="11" spans="1:6">
      <c r="A11" s="27" t="s">
        <v>16</v>
      </c>
      <c r="B11" s="27"/>
      <c r="C11" s="37">
        <f ca="1">INTERCEPT(INDIRECT($D$9):G991,INDIRECT($C$9):F991)</f>
        <v>-2.3911938825900873E-2</v>
      </c>
      <c r="D11" s="5"/>
      <c r="E11" s="27"/>
    </row>
    <row r="12" spans="1:6">
      <c r="A12" s="27" t="s">
        <v>17</v>
      </c>
      <c r="B12" s="27"/>
      <c r="C12" s="37">
        <f ca="1">SLOPE(INDIRECT($D$9):G991,INDIRECT($C$9):F991)</f>
        <v>5.602399733507048E-6</v>
      </c>
      <c r="D12" s="5"/>
      <c r="E12" s="27"/>
    </row>
    <row r="13" spans="1:6">
      <c r="A13" s="27" t="s">
        <v>20</v>
      </c>
      <c r="B13" s="27"/>
      <c r="C13" s="5" t="s">
        <v>14</v>
      </c>
    </row>
    <row r="14" spans="1:6">
      <c r="A14" s="27"/>
      <c r="B14" s="27"/>
      <c r="C14" s="27"/>
    </row>
    <row r="15" spans="1:6">
      <c r="A15" s="29" t="s">
        <v>18</v>
      </c>
      <c r="B15" s="27"/>
      <c r="C15" s="11">
        <f ca="1">(C7+C11)+(C8+C12)*INT(MAX(F21:F3532))</f>
        <v>58055.383138138466</v>
      </c>
      <c r="E15" s="30" t="s">
        <v>51</v>
      </c>
      <c r="F15" s="28">
        <v>1</v>
      </c>
    </row>
    <row r="16" spans="1:6">
      <c r="A16" s="32" t="s">
        <v>4</v>
      </c>
      <c r="B16" s="27"/>
      <c r="C16" s="12">
        <f ca="1">+C8+C12</f>
        <v>1.8398258023997334</v>
      </c>
      <c r="E16" s="30" t="s">
        <v>47</v>
      </c>
      <c r="F16" s="31">
        <f ca="1">NOW()+15018.5+$C$5/24</f>
        <v>60342.728981597218</v>
      </c>
    </row>
    <row r="17" spans="1:20" ht="13.5" thickBot="1">
      <c r="A17" s="30" t="s">
        <v>39</v>
      </c>
      <c r="B17" s="27"/>
      <c r="C17" s="27">
        <f>COUNT(C21:C2190)</f>
        <v>35</v>
      </c>
      <c r="E17" s="30" t="s">
        <v>52</v>
      </c>
      <c r="F17" s="31">
        <f ca="1">ROUND(2*(F16-$C$7)/$C$8,0)/2+F15</f>
        <v>14361.5</v>
      </c>
    </row>
    <row r="18" spans="1:20" ht="14.25" thickTop="1" thickBot="1">
      <c r="A18" s="32" t="s">
        <v>5</v>
      </c>
      <c r="B18" s="27"/>
      <c r="C18" s="34">
        <f ca="1">+C15</f>
        <v>58055.383138138466</v>
      </c>
      <c r="D18" s="35">
        <f ca="1">+C16</f>
        <v>1.8398258023997334</v>
      </c>
      <c r="E18" s="30" t="s">
        <v>48</v>
      </c>
      <c r="F18" s="20">
        <f ca="1">ROUND(2*(F16-$C$15)/$C$16,0)/2+F15</f>
        <v>1244</v>
      </c>
    </row>
    <row r="19" spans="1:20" ht="13.5" thickTop="1">
      <c r="E19" s="30" t="s">
        <v>49</v>
      </c>
      <c r="F19" s="33">
        <f ca="1">+$C$15+$C$16*F18-15018.5-$C$5/24</f>
        <v>45326.022269657071</v>
      </c>
    </row>
    <row r="20" spans="1:2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66</v>
      </c>
      <c r="I20" s="9" t="s">
        <v>69</v>
      </c>
      <c r="J20" s="9" t="s">
        <v>63</v>
      </c>
      <c r="K20" s="9" t="s">
        <v>61</v>
      </c>
      <c r="L20" s="9" t="s">
        <v>27</v>
      </c>
      <c r="M20" s="9" t="s">
        <v>28</v>
      </c>
      <c r="N20" s="9" t="s">
        <v>29</v>
      </c>
      <c r="O20" s="9" t="s">
        <v>24</v>
      </c>
      <c r="P20" s="8" t="s">
        <v>23</v>
      </c>
      <c r="Q20" s="6" t="s">
        <v>15</v>
      </c>
      <c r="R20" s="63"/>
      <c r="T20" s="67" t="s">
        <v>216</v>
      </c>
    </row>
    <row r="21" spans="1:20">
      <c r="A21" t="s">
        <v>12</v>
      </c>
      <c r="C21" s="24">
        <v>28774.409</v>
      </c>
      <c r="D21" s="24" t="s">
        <v>14</v>
      </c>
      <c r="E21">
        <f t="shared" ref="E21:E54" si="0">+(C21-C$7)/C$8</f>
        <v>-2798.1011405353615</v>
      </c>
      <c r="F21">
        <f t="shared" ref="F21:F54" si="1">ROUND(2*E21,0)/2</f>
        <v>-2798</v>
      </c>
      <c r="H21">
        <v>0</v>
      </c>
      <c r="O21">
        <f t="shared" ref="O21:O54" ca="1" si="2">+C$11+C$12*F21</f>
        <v>-3.9587453280253593E-2</v>
      </c>
      <c r="Q21" s="2">
        <f t="shared" ref="Q21:Q54" si="3">+C21-15018.5</f>
        <v>13755.909</v>
      </c>
      <c r="R21" s="2"/>
    </row>
    <row r="22" spans="1:20">
      <c r="A22" s="61" t="s">
        <v>77</v>
      </c>
      <c r="B22" s="62" t="s">
        <v>42</v>
      </c>
      <c r="C22" s="61">
        <v>32761.49</v>
      </c>
      <c r="D22" s="61"/>
      <c r="E22">
        <f t="shared" si="0"/>
        <v>-630.99752899766781</v>
      </c>
      <c r="F22">
        <f t="shared" si="1"/>
        <v>-631</v>
      </c>
      <c r="G22">
        <f t="shared" ref="G22:G54" si="4">+C22-(C$7+F22*C$8)</f>
        <v>4.5462000052793883E-3</v>
      </c>
      <c r="I22">
        <f t="shared" ref="I22:I35" si="5">G22</f>
        <v>4.5462000052793883E-3</v>
      </c>
      <c r="O22">
        <f t="shared" ca="1" si="2"/>
        <v>-2.7447053057743819E-2</v>
      </c>
      <c r="Q22" s="2">
        <f t="shared" si="3"/>
        <v>17742.990000000002</v>
      </c>
      <c r="R22" s="2"/>
    </row>
    <row r="23" spans="1:20">
      <c r="A23" s="61" t="s">
        <v>77</v>
      </c>
      <c r="B23" s="62" t="s">
        <v>42</v>
      </c>
      <c r="C23" s="61">
        <v>32763.345000000001</v>
      </c>
      <c r="D23" s="61"/>
      <c r="E23">
        <f t="shared" si="0"/>
        <v>-629.98927830012713</v>
      </c>
      <c r="F23">
        <f t="shared" si="1"/>
        <v>-630</v>
      </c>
      <c r="G23">
        <f t="shared" si="4"/>
        <v>1.9726000005903188E-2</v>
      </c>
      <c r="I23">
        <f t="shared" si="5"/>
        <v>1.9726000005903188E-2</v>
      </c>
      <c r="O23">
        <f t="shared" ca="1" si="2"/>
        <v>-2.7441450658010312E-2</v>
      </c>
      <c r="Q23" s="2">
        <f t="shared" si="3"/>
        <v>17744.845000000001</v>
      </c>
      <c r="R23" s="2"/>
    </row>
    <row r="24" spans="1:20">
      <c r="A24" s="61" t="s">
        <v>77</v>
      </c>
      <c r="B24" s="62" t="s">
        <v>42</v>
      </c>
      <c r="C24" s="61">
        <v>32914.175000000003</v>
      </c>
      <c r="D24" s="61"/>
      <c r="E24">
        <f t="shared" si="0"/>
        <v>-548.00844125963704</v>
      </c>
      <c r="F24">
        <f t="shared" si="1"/>
        <v>-548</v>
      </c>
      <c r="G24">
        <f t="shared" si="4"/>
        <v>-1.5530399992712773E-2</v>
      </c>
      <c r="I24">
        <f t="shared" si="5"/>
        <v>-1.5530399992712773E-2</v>
      </c>
      <c r="O24">
        <f t="shared" ca="1" si="2"/>
        <v>-2.6982053879862734E-2</v>
      </c>
      <c r="Q24" s="2">
        <f t="shared" si="3"/>
        <v>17895.675000000003</v>
      </c>
      <c r="R24" s="2"/>
    </row>
    <row r="25" spans="1:20">
      <c r="A25" s="61" t="s">
        <v>77</v>
      </c>
      <c r="B25" s="62" t="s">
        <v>42</v>
      </c>
      <c r="C25" s="61">
        <v>33922.411999999997</v>
      </c>
      <c r="D25" s="61"/>
      <c r="E25">
        <f t="shared" si="0"/>
        <v>0</v>
      </c>
      <c r="F25">
        <f t="shared" si="1"/>
        <v>0</v>
      </c>
      <c r="G25">
        <f t="shared" si="4"/>
        <v>0</v>
      </c>
      <c r="I25">
        <f t="shared" si="5"/>
        <v>0</v>
      </c>
      <c r="O25">
        <f t="shared" ca="1" si="2"/>
        <v>-2.3911938825900873E-2</v>
      </c>
      <c r="Q25" s="2">
        <f t="shared" si="3"/>
        <v>18903.911999999997</v>
      </c>
      <c r="R25" s="2"/>
    </row>
    <row r="26" spans="1:20">
      <c r="A26" s="61" t="s">
        <v>77</v>
      </c>
      <c r="B26" s="62" t="s">
        <v>42</v>
      </c>
      <c r="C26" s="61">
        <v>33946.33</v>
      </c>
      <c r="D26" s="61"/>
      <c r="E26">
        <f t="shared" si="0"/>
        <v>13.000183387488148</v>
      </c>
      <c r="F26">
        <f t="shared" si="1"/>
        <v>13</v>
      </c>
      <c r="G26">
        <f t="shared" si="4"/>
        <v>3.3740000799298286E-4</v>
      </c>
      <c r="I26">
        <f t="shared" si="5"/>
        <v>3.3740000799298286E-4</v>
      </c>
      <c r="O26">
        <f t="shared" ca="1" si="2"/>
        <v>-2.383910762936528E-2</v>
      </c>
      <c r="Q26" s="2">
        <f t="shared" si="3"/>
        <v>18927.830000000002</v>
      </c>
      <c r="R26" s="2"/>
    </row>
    <row r="27" spans="1:20">
      <c r="A27" s="61" t="s">
        <v>77</v>
      </c>
      <c r="B27" s="62" t="s">
        <v>42</v>
      </c>
      <c r="C27" s="61">
        <v>34150.548000000003</v>
      </c>
      <c r="D27" s="61"/>
      <c r="E27">
        <f t="shared" si="0"/>
        <v>123.99907338771794</v>
      </c>
      <c r="F27">
        <f t="shared" si="1"/>
        <v>124</v>
      </c>
      <c r="G27">
        <f t="shared" si="4"/>
        <v>-1.704799993603956E-3</v>
      </c>
      <c r="I27">
        <f t="shared" si="5"/>
        <v>-1.704799993603956E-3</v>
      </c>
      <c r="O27">
        <f t="shared" ca="1" si="2"/>
        <v>-2.3217241258946E-2</v>
      </c>
      <c r="Q27" s="2">
        <f t="shared" si="3"/>
        <v>19132.048000000003</v>
      </c>
      <c r="R27" s="2"/>
    </row>
    <row r="28" spans="1:20">
      <c r="A28" s="61" t="s">
        <v>77</v>
      </c>
      <c r="B28" s="62" t="s">
        <v>42</v>
      </c>
      <c r="C28" s="61">
        <v>34634.404999999999</v>
      </c>
      <c r="D28" s="61"/>
      <c r="E28">
        <f t="shared" si="0"/>
        <v>386.99053309665925</v>
      </c>
      <c r="F28">
        <f t="shared" si="1"/>
        <v>387</v>
      </c>
      <c r="G28">
        <f t="shared" si="4"/>
        <v>-1.7417399998521432E-2</v>
      </c>
      <c r="I28">
        <f t="shared" si="5"/>
        <v>-1.7417399998521432E-2</v>
      </c>
      <c r="O28">
        <f t="shared" ca="1" si="2"/>
        <v>-2.1743810129033644E-2</v>
      </c>
      <c r="Q28" s="2">
        <f t="shared" si="3"/>
        <v>19615.904999999999</v>
      </c>
      <c r="R28" s="2"/>
    </row>
    <row r="29" spans="1:20">
      <c r="A29" s="61" t="s">
        <v>77</v>
      </c>
      <c r="B29" s="62" t="s">
        <v>42</v>
      </c>
      <c r="C29" s="61">
        <v>34636.26</v>
      </c>
      <c r="D29" s="61"/>
      <c r="E29">
        <f t="shared" si="0"/>
        <v>387.99878379420198</v>
      </c>
      <c r="F29">
        <f t="shared" si="1"/>
        <v>388</v>
      </c>
      <c r="G29">
        <f t="shared" si="4"/>
        <v>-2.2375999978976324E-3</v>
      </c>
      <c r="I29">
        <f t="shared" si="5"/>
        <v>-2.2375999978976324E-3</v>
      </c>
      <c r="O29">
        <f t="shared" ca="1" si="2"/>
        <v>-2.1738207729300137E-2</v>
      </c>
      <c r="Q29" s="2">
        <f t="shared" si="3"/>
        <v>19617.760000000002</v>
      </c>
      <c r="R29" s="2"/>
    </row>
    <row r="30" spans="1:20">
      <c r="A30" s="61" t="s">
        <v>77</v>
      </c>
      <c r="B30" s="62" t="s">
        <v>42</v>
      </c>
      <c r="C30" s="61">
        <v>34706.165000000001</v>
      </c>
      <c r="D30" s="61"/>
      <c r="E30">
        <f t="shared" si="0"/>
        <v>425.99434444735647</v>
      </c>
      <c r="F30">
        <f t="shared" si="1"/>
        <v>426</v>
      </c>
      <c r="G30">
        <f t="shared" si="4"/>
        <v>-1.0405199995147996E-2</v>
      </c>
      <c r="I30">
        <f t="shared" si="5"/>
        <v>-1.0405199995147996E-2</v>
      </c>
      <c r="O30">
        <f t="shared" ca="1" si="2"/>
        <v>-2.152531653942687E-2</v>
      </c>
      <c r="Q30" s="2">
        <f t="shared" si="3"/>
        <v>19687.665000000001</v>
      </c>
      <c r="R30" s="2"/>
    </row>
    <row r="31" spans="1:20">
      <c r="A31" s="61" t="s">
        <v>77</v>
      </c>
      <c r="B31" s="62" t="s">
        <v>42</v>
      </c>
      <c r="C31" s="61">
        <v>35195.565000000002</v>
      </c>
      <c r="D31" s="61"/>
      <c r="E31">
        <f t="shared" si="0"/>
        <v>691.99859855871011</v>
      </c>
      <c r="F31">
        <f t="shared" si="1"/>
        <v>692</v>
      </c>
      <c r="G31">
        <f t="shared" si="4"/>
        <v>-2.5783999954001047E-3</v>
      </c>
      <c r="I31">
        <f t="shared" si="5"/>
        <v>-2.5783999954001047E-3</v>
      </c>
      <c r="O31">
        <f t="shared" ca="1" si="2"/>
        <v>-2.0035078210313997E-2</v>
      </c>
      <c r="Q31" s="2">
        <f t="shared" si="3"/>
        <v>20177.065000000002</v>
      </c>
      <c r="R31" s="2"/>
    </row>
    <row r="32" spans="1:20">
      <c r="A32" s="61" t="s">
        <v>77</v>
      </c>
      <c r="B32" s="62" t="s">
        <v>42</v>
      </c>
      <c r="C32" s="61">
        <v>35368.495000000003</v>
      </c>
      <c r="D32" s="61"/>
      <c r="E32">
        <f t="shared" si="0"/>
        <v>785.99147894995724</v>
      </c>
      <c r="F32">
        <f t="shared" si="1"/>
        <v>786</v>
      </c>
      <c r="G32">
        <f t="shared" si="4"/>
        <v>-1.5677199997298885E-2</v>
      </c>
      <c r="I32">
        <f t="shared" si="5"/>
        <v>-1.5677199997298885E-2</v>
      </c>
      <c r="O32">
        <f t="shared" ca="1" si="2"/>
        <v>-1.9508452635364333E-2</v>
      </c>
      <c r="Q32" s="2">
        <f t="shared" si="3"/>
        <v>20349.995000000003</v>
      </c>
      <c r="R32" s="2"/>
    </row>
    <row r="33" spans="1:32">
      <c r="A33" s="61" t="s">
        <v>77</v>
      </c>
      <c r="B33" s="62" t="s">
        <v>42</v>
      </c>
      <c r="C33" s="61">
        <v>35370.362000000001</v>
      </c>
      <c r="D33" s="61"/>
      <c r="E33">
        <f t="shared" si="0"/>
        <v>787.00625202397737</v>
      </c>
      <c r="F33">
        <f t="shared" si="1"/>
        <v>787</v>
      </c>
      <c r="G33">
        <f t="shared" si="4"/>
        <v>1.1502600005769636E-2</v>
      </c>
      <c r="I33">
        <f t="shared" si="5"/>
        <v>1.1502600005769636E-2</v>
      </c>
      <c r="O33">
        <f t="shared" ca="1" si="2"/>
        <v>-1.9502850235630826E-2</v>
      </c>
      <c r="Q33" s="2">
        <f t="shared" si="3"/>
        <v>20351.862000000001</v>
      </c>
      <c r="R33" s="2"/>
    </row>
    <row r="34" spans="1:32">
      <c r="A34" s="61" t="s">
        <v>77</v>
      </c>
      <c r="B34" s="62" t="s">
        <v>42</v>
      </c>
      <c r="C34" s="61">
        <v>35453.152999999998</v>
      </c>
      <c r="D34" s="61"/>
      <c r="E34">
        <f t="shared" si="0"/>
        <v>832.00575795395764</v>
      </c>
      <c r="F34">
        <f t="shared" si="1"/>
        <v>832</v>
      </c>
      <c r="G34">
        <f t="shared" si="4"/>
        <v>1.0593600003630854E-2</v>
      </c>
      <c r="I34">
        <f t="shared" si="5"/>
        <v>1.0593600003630854E-2</v>
      </c>
      <c r="O34">
        <f t="shared" ca="1" si="2"/>
        <v>-1.9250742247623007E-2</v>
      </c>
      <c r="Q34" s="2">
        <f t="shared" si="3"/>
        <v>20434.652999999998</v>
      </c>
      <c r="R34" s="2"/>
    </row>
    <row r="35" spans="1:32">
      <c r="A35" s="61" t="s">
        <v>77</v>
      </c>
      <c r="B35" s="62" t="s">
        <v>42</v>
      </c>
      <c r="C35" s="61">
        <v>36816.449000000001</v>
      </c>
      <c r="D35" s="61"/>
      <c r="E35">
        <f t="shared" si="0"/>
        <v>1572.9999050994245</v>
      </c>
      <c r="F35">
        <f t="shared" si="1"/>
        <v>1573</v>
      </c>
      <c r="G35">
        <f t="shared" si="4"/>
        <v>-1.7459999799029902E-4</v>
      </c>
      <c r="I35">
        <f t="shared" si="5"/>
        <v>-1.7459999799029902E-4</v>
      </c>
      <c r="O35">
        <f t="shared" ca="1" si="2"/>
        <v>-1.5099364045094286E-2</v>
      </c>
      <c r="Q35" s="2">
        <f t="shared" si="3"/>
        <v>21797.949000000001</v>
      </c>
      <c r="R35" s="2"/>
    </row>
    <row r="36" spans="1:32">
      <c r="A36" t="s">
        <v>36</v>
      </c>
      <c r="C36" s="24">
        <v>49124.812299999998</v>
      </c>
      <c r="D36" s="24">
        <v>1.5E-3</v>
      </c>
      <c r="E36">
        <f t="shared" si="0"/>
        <v>8262.9815130848128</v>
      </c>
      <c r="F36">
        <f t="shared" si="1"/>
        <v>8263</v>
      </c>
      <c r="G36">
        <f t="shared" si="4"/>
        <v>-3.4012600001005922E-2</v>
      </c>
      <c r="J36">
        <f>G36</f>
        <v>-3.4012600001005922E-2</v>
      </c>
      <c r="O36">
        <f t="shared" ca="1" si="2"/>
        <v>2.2380690172067865E-2</v>
      </c>
      <c r="Q36" s="2">
        <f t="shared" si="3"/>
        <v>34106.312299999998</v>
      </c>
      <c r="R36" s="2"/>
      <c r="S36">
        <f>+F36-F35</f>
        <v>6690</v>
      </c>
    </row>
    <row r="37" spans="1:32">
      <c r="A37" s="61" t="s">
        <v>125</v>
      </c>
      <c r="B37" s="62" t="s">
        <v>42</v>
      </c>
      <c r="C37" s="61">
        <v>49198.405299999999</v>
      </c>
      <c r="D37" s="61" t="s">
        <v>69</v>
      </c>
      <c r="E37">
        <f t="shared" si="0"/>
        <v>8302.9816174428361</v>
      </c>
      <c r="F37">
        <f t="shared" si="1"/>
        <v>8303</v>
      </c>
      <c r="G37">
        <f t="shared" si="4"/>
        <v>-3.3820600001490675E-2</v>
      </c>
      <c r="J37">
        <f>G37</f>
        <v>-3.3820600001490675E-2</v>
      </c>
      <c r="O37">
        <f t="shared" ca="1" si="2"/>
        <v>2.2604786161408149E-2</v>
      </c>
      <c r="Q37" s="2">
        <f t="shared" si="3"/>
        <v>34179.905299999999</v>
      </c>
      <c r="R37" s="2"/>
    </row>
    <row r="38" spans="1:32">
      <c r="A38" t="s">
        <v>31</v>
      </c>
      <c r="C38" s="24">
        <v>49279.355000000003</v>
      </c>
      <c r="D38" s="24">
        <v>2E-3</v>
      </c>
      <c r="E38">
        <f t="shared" si="0"/>
        <v>8346.9803190550938</v>
      </c>
      <c r="F38">
        <f t="shared" si="1"/>
        <v>8347</v>
      </c>
      <c r="G38">
        <f t="shared" si="4"/>
        <v>-3.6209399993822444E-2</v>
      </c>
      <c r="I38">
        <f>G38</f>
        <v>-3.6209399993822444E-2</v>
      </c>
      <c r="O38">
        <f t="shared" ca="1" si="2"/>
        <v>2.2851291749682454E-2</v>
      </c>
      <c r="Q38" s="2">
        <f t="shared" si="3"/>
        <v>34260.855000000003</v>
      </c>
      <c r="R38" s="2"/>
      <c r="S38">
        <f>+F38-F37</f>
        <v>44</v>
      </c>
      <c r="AB38">
        <v>8</v>
      </c>
      <c r="AD38" t="s">
        <v>30</v>
      </c>
      <c r="AF38" t="s">
        <v>32</v>
      </c>
    </row>
    <row r="39" spans="1:32">
      <c r="A39" t="s">
        <v>31</v>
      </c>
      <c r="C39" s="24">
        <v>49658.347000000002</v>
      </c>
      <c r="D39" s="24">
        <v>4.0000000000000001E-3</v>
      </c>
      <c r="E39">
        <f t="shared" si="0"/>
        <v>8552.9743612990042</v>
      </c>
      <c r="F39">
        <f t="shared" si="1"/>
        <v>8553</v>
      </c>
      <c r="G39">
        <f t="shared" si="4"/>
        <v>-4.717059999529738E-2</v>
      </c>
      <c r="I39">
        <f>G39</f>
        <v>-4.717059999529738E-2</v>
      </c>
      <c r="O39">
        <f t="shared" ca="1" si="2"/>
        <v>2.4005386094784909E-2</v>
      </c>
      <c r="Q39" s="2">
        <f t="shared" si="3"/>
        <v>34639.847000000002</v>
      </c>
      <c r="R39" s="2"/>
      <c r="S39">
        <f>+F39-F38</f>
        <v>206</v>
      </c>
      <c r="AB39">
        <v>8</v>
      </c>
      <c r="AD39" t="s">
        <v>30</v>
      </c>
      <c r="AF39" t="s">
        <v>32</v>
      </c>
    </row>
    <row r="40" spans="1:32">
      <c r="A40" t="s">
        <v>34</v>
      </c>
      <c r="C40" s="24">
        <v>50324.366000000002</v>
      </c>
      <c r="D40" s="24">
        <v>2.5000000000000001E-3</v>
      </c>
      <c r="E40">
        <f t="shared" si="0"/>
        <v>8914.9765830378456</v>
      </c>
      <c r="F40">
        <f t="shared" si="1"/>
        <v>8915</v>
      </c>
      <c r="G40">
        <f t="shared" si="4"/>
        <v>-4.3082999989564996E-2</v>
      </c>
      <c r="I40">
        <f>G40</f>
        <v>-4.3082999989564996E-2</v>
      </c>
      <c r="O40">
        <f t="shared" ca="1" si="2"/>
        <v>2.6033454798314457E-2</v>
      </c>
      <c r="Q40" s="2">
        <f t="shared" si="3"/>
        <v>35305.866000000002</v>
      </c>
      <c r="R40" s="2"/>
      <c r="S40">
        <f>+F40-F39</f>
        <v>362</v>
      </c>
      <c r="AB40">
        <v>11</v>
      </c>
      <c r="AD40" t="s">
        <v>33</v>
      </c>
      <c r="AF40" t="s">
        <v>32</v>
      </c>
    </row>
    <row r="41" spans="1:32">
      <c r="A41" s="61" t="s">
        <v>138</v>
      </c>
      <c r="B41" s="62" t="s">
        <v>42</v>
      </c>
      <c r="C41" s="61">
        <v>50324.366600000001</v>
      </c>
      <c r="D41" s="61" t="s">
        <v>69</v>
      </c>
      <c r="E41">
        <f t="shared" si="0"/>
        <v>8914.9769091566686</v>
      </c>
      <c r="F41">
        <f t="shared" si="1"/>
        <v>8915</v>
      </c>
      <c r="G41">
        <f t="shared" si="4"/>
        <v>-4.2482999990170356E-2</v>
      </c>
      <c r="J41">
        <f>G41</f>
        <v>-4.2482999990170356E-2</v>
      </c>
      <c r="O41">
        <f t="shared" ca="1" si="2"/>
        <v>2.6033454798314457E-2</v>
      </c>
      <c r="Q41" s="2">
        <f t="shared" si="3"/>
        <v>35305.866600000001</v>
      </c>
      <c r="R41" s="2"/>
    </row>
    <row r="42" spans="1:32">
      <c r="A42" s="36" t="s">
        <v>50</v>
      </c>
      <c r="B42" s="5" t="s">
        <v>42</v>
      </c>
      <c r="C42" s="17">
        <v>50664.733500000002</v>
      </c>
      <c r="D42" s="17">
        <v>4.0000000000000002E-4</v>
      </c>
      <c r="E42">
        <f t="shared" si="0"/>
        <v>9099.9769977522847</v>
      </c>
      <c r="F42">
        <f t="shared" si="1"/>
        <v>9100</v>
      </c>
      <c r="G42">
        <f t="shared" si="4"/>
        <v>-4.2319999993196689E-2</v>
      </c>
      <c r="K42">
        <f>G42</f>
        <v>-4.2319999993196689E-2</v>
      </c>
      <c r="O42">
        <f t="shared" ca="1" si="2"/>
        <v>2.7069898749013267E-2</v>
      </c>
      <c r="Q42" s="2">
        <f t="shared" si="3"/>
        <v>35646.233500000002</v>
      </c>
      <c r="R42" s="2"/>
    </row>
    <row r="43" spans="1:32">
      <c r="A43" s="61" t="s">
        <v>147</v>
      </c>
      <c r="B43" s="62" t="s">
        <v>42</v>
      </c>
      <c r="C43" s="61">
        <v>51713.427000000003</v>
      </c>
      <c r="D43" s="61" t="s">
        <v>69</v>
      </c>
      <c r="E43">
        <f t="shared" si="0"/>
        <v>9669.9748160173513</v>
      </c>
      <c r="F43">
        <f t="shared" si="1"/>
        <v>9670</v>
      </c>
      <c r="G43">
        <f t="shared" si="4"/>
        <v>-4.6333999991475139E-2</v>
      </c>
      <c r="I43">
        <f>G43</f>
        <v>-4.6333999991475139E-2</v>
      </c>
      <c r="O43">
        <f t="shared" ca="1" si="2"/>
        <v>3.0263266597112284E-2</v>
      </c>
      <c r="Q43" s="2">
        <f t="shared" si="3"/>
        <v>36694.927000000003</v>
      </c>
      <c r="R43" s="2"/>
    </row>
    <row r="44" spans="1:32">
      <c r="A44" s="14" t="s">
        <v>41</v>
      </c>
      <c r="B44" s="15" t="s">
        <v>42</v>
      </c>
      <c r="C44" s="25">
        <v>53895.447999999997</v>
      </c>
      <c r="D44" s="25">
        <v>6.9999999999999999E-4</v>
      </c>
      <c r="E44">
        <f t="shared" si="0"/>
        <v>10855.971686798526</v>
      </c>
      <c r="F44">
        <f t="shared" si="1"/>
        <v>10856</v>
      </c>
      <c r="G44">
        <f t="shared" si="4"/>
        <v>-5.2091199999267701E-2</v>
      </c>
      <c r="J44">
        <f>G44</f>
        <v>-5.2091199999267701E-2</v>
      </c>
      <c r="O44">
        <f t="shared" ca="1" si="2"/>
        <v>3.6907712681051641E-2</v>
      </c>
      <c r="Q44" s="2">
        <f t="shared" si="3"/>
        <v>38876.947999999997</v>
      </c>
      <c r="R44" s="2"/>
    </row>
    <row r="45" spans="1:32">
      <c r="A45" s="61" t="s">
        <v>162</v>
      </c>
      <c r="B45" s="62" t="s">
        <v>42</v>
      </c>
      <c r="C45" s="61">
        <v>54324.125699999997</v>
      </c>
      <c r="D45" s="61" t="s">
        <v>69</v>
      </c>
      <c r="E45">
        <f t="shared" si="0"/>
        <v>11088.97146579867</v>
      </c>
      <c r="F45">
        <f t="shared" si="1"/>
        <v>11089</v>
      </c>
      <c r="G45">
        <f t="shared" si="4"/>
        <v>-5.2497799995762762E-2</v>
      </c>
      <c r="K45">
        <f>G45</f>
        <v>-5.2497799995762762E-2</v>
      </c>
      <c r="O45">
        <f t="shared" ca="1" si="2"/>
        <v>3.8213071818958777E-2</v>
      </c>
      <c r="Q45" s="2">
        <f t="shared" si="3"/>
        <v>39305.625699999997</v>
      </c>
      <c r="R45" s="2"/>
    </row>
    <row r="46" spans="1:32">
      <c r="A46" s="61" t="s">
        <v>168</v>
      </c>
      <c r="B46" s="62" t="s">
        <v>42</v>
      </c>
      <c r="C46" s="61">
        <v>54366.448600000003</v>
      </c>
      <c r="D46" s="61" t="s">
        <v>69</v>
      </c>
      <c r="E46">
        <f t="shared" si="0"/>
        <v>11111.975289759297</v>
      </c>
      <c r="F46">
        <f t="shared" si="1"/>
        <v>11112</v>
      </c>
      <c r="G46">
        <f t="shared" si="4"/>
        <v>-4.5462399997632019E-2</v>
      </c>
      <c r="K46">
        <f>G46</f>
        <v>-4.5462399997632019E-2</v>
      </c>
      <c r="O46">
        <f t="shared" ca="1" si="2"/>
        <v>3.8341927012829444E-2</v>
      </c>
      <c r="Q46" s="2">
        <f t="shared" si="3"/>
        <v>39347.948600000003</v>
      </c>
      <c r="R46" s="2"/>
    </row>
    <row r="47" spans="1:32">
      <c r="A47" s="41" t="s">
        <v>55</v>
      </c>
      <c r="B47" s="42" t="s">
        <v>42</v>
      </c>
      <c r="C47" s="41">
        <v>55126.288399999998</v>
      </c>
      <c r="D47" s="41">
        <v>2.0000000000000001E-4</v>
      </c>
      <c r="E47">
        <f t="shared" si="0"/>
        <v>11524.972059769754</v>
      </c>
      <c r="F47">
        <f t="shared" si="1"/>
        <v>11525</v>
      </c>
      <c r="G47">
        <f t="shared" si="4"/>
        <v>-5.1404999998339918E-2</v>
      </c>
      <c r="J47">
        <f>G47</f>
        <v>-5.1404999998339918E-2</v>
      </c>
      <c r="O47">
        <f t="shared" ca="1" si="2"/>
        <v>4.0655718102767857E-2</v>
      </c>
      <c r="Q47" s="2">
        <f t="shared" si="3"/>
        <v>40107.788399999998</v>
      </c>
      <c r="R47" s="2"/>
    </row>
    <row r="48" spans="1:32">
      <c r="A48" s="41" t="s">
        <v>55</v>
      </c>
      <c r="B48" s="42" t="s">
        <v>42</v>
      </c>
      <c r="C48" s="41">
        <v>55376.504000000001</v>
      </c>
      <c r="D48" s="41">
        <v>1.5E-3</v>
      </c>
      <c r="E48">
        <f t="shared" si="0"/>
        <v>11660.972088468214</v>
      </c>
      <c r="F48">
        <f t="shared" si="1"/>
        <v>11661</v>
      </c>
      <c r="G48">
        <f t="shared" si="4"/>
        <v>-5.1352199996472336E-2</v>
      </c>
      <c r="J48">
        <f>G48</f>
        <v>-5.1352199996472336E-2</v>
      </c>
      <c r="O48">
        <f t="shared" ca="1" si="2"/>
        <v>4.1417644466524822E-2</v>
      </c>
      <c r="Q48" s="2">
        <f t="shared" si="3"/>
        <v>40358.004000000001</v>
      </c>
      <c r="R48" s="2"/>
    </row>
    <row r="49" spans="1:20">
      <c r="A49" s="41" t="s">
        <v>54</v>
      </c>
      <c r="B49" s="42" t="s">
        <v>42</v>
      </c>
      <c r="C49" s="41">
        <v>55400.419199999997</v>
      </c>
      <c r="D49" s="41">
        <v>2.0000000000000001E-4</v>
      </c>
      <c r="E49">
        <f t="shared" si="0"/>
        <v>11673.970749967852</v>
      </c>
      <c r="F49">
        <f t="shared" si="1"/>
        <v>11674</v>
      </c>
      <c r="G49">
        <f t="shared" si="4"/>
        <v>-5.3814799997780938E-2</v>
      </c>
      <c r="K49">
        <f>G49</f>
        <v>-5.3814799997780938E-2</v>
      </c>
      <c r="O49">
        <f t="shared" ca="1" si="2"/>
        <v>4.1490475663060411E-2</v>
      </c>
      <c r="Q49" s="2">
        <f t="shared" si="3"/>
        <v>40381.919199999997</v>
      </c>
      <c r="R49" s="2"/>
    </row>
    <row r="50" spans="1:20">
      <c r="A50" s="43" t="s">
        <v>57</v>
      </c>
      <c r="B50" s="44" t="s">
        <v>42</v>
      </c>
      <c r="C50" s="45">
        <v>55698.470029999997</v>
      </c>
      <c r="D50" s="45">
        <v>2.0000000000000001E-4</v>
      </c>
      <c r="E50">
        <f t="shared" si="0"/>
        <v>11835.97072692212</v>
      </c>
      <c r="F50">
        <f t="shared" si="1"/>
        <v>11836</v>
      </c>
      <c r="G50">
        <f t="shared" si="4"/>
        <v>-5.3857200000493322E-2</v>
      </c>
      <c r="K50">
        <f>G50</f>
        <v>-5.3857200000493322E-2</v>
      </c>
      <c r="O50">
        <f t="shared" ca="1" si="2"/>
        <v>4.2398064419888554E-2</v>
      </c>
      <c r="Q50" s="2">
        <f t="shared" si="3"/>
        <v>40679.970029999997</v>
      </c>
      <c r="R50" s="2"/>
    </row>
    <row r="51" spans="1:20">
      <c r="A51" s="61" t="s">
        <v>197</v>
      </c>
      <c r="B51" s="62" t="s">
        <v>42</v>
      </c>
      <c r="C51" s="61">
        <v>55801.5003</v>
      </c>
      <c r="D51" s="61" t="s">
        <v>69</v>
      </c>
      <c r="E51">
        <f t="shared" si="0"/>
        <v>11891.970911070552</v>
      </c>
      <c r="F51">
        <f t="shared" si="1"/>
        <v>11892</v>
      </c>
      <c r="G51">
        <f t="shared" si="4"/>
        <v>-5.3518399996391963E-2</v>
      </c>
      <c r="K51">
        <f>G51</f>
        <v>-5.3518399996391963E-2</v>
      </c>
      <c r="O51">
        <f t="shared" ca="1" si="2"/>
        <v>4.2711798804964951E-2</v>
      </c>
      <c r="Q51" s="2">
        <f t="shared" si="3"/>
        <v>40783.0003</v>
      </c>
      <c r="R51" s="2"/>
    </row>
    <row r="52" spans="1:20">
      <c r="A52" s="43" t="s">
        <v>57</v>
      </c>
      <c r="B52" s="44" t="s">
        <v>42</v>
      </c>
      <c r="C52" s="45">
        <v>55803.340909999999</v>
      </c>
      <c r="D52" s="45">
        <v>2.0000000000000001E-4</v>
      </c>
      <c r="E52">
        <f t="shared" si="0"/>
        <v>11892.971340351629</v>
      </c>
      <c r="F52">
        <f t="shared" si="1"/>
        <v>11893</v>
      </c>
      <c r="G52">
        <f t="shared" si="4"/>
        <v>-5.2728599999682046E-2</v>
      </c>
      <c r="K52">
        <f>G52</f>
        <v>-5.2728599999682046E-2</v>
      </c>
      <c r="O52">
        <f t="shared" ca="1" si="2"/>
        <v>4.2717401204698455E-2</v>
      </c>
      <c r="Q52" s="2">
        <f t="shared" si="3"/>
        <v>40784.840909999999</v>
      </c>
      <c r="R52" s="2"/>
    </row>
    <row r="53" spans="1:20">
      <c r="A53" s="43" t="s">
        <v>57</v>
      </c>
      <c r="B53" s="44" t="s">
        <v>42</v>
      </c>
      <c r="C53" s="45">
        <v>55838.295729999998</v>
      </c>
      <c r="D53" s="45">
        <v>1E-4</v>
      </c>
      <c r="E53">
        <f t="shared" si="0"/>
        <v>11911.970381670993</v>
      </c>
      <c r="F53">
        <f t="shared" si="1"/>
        <v>11912</v>
      </c>
      <c r="G53">
        <f t="shared" si="4"/>
        <v>-5.4492399998707697E-2</v>
      </c>
      <c r="K53">
        <f>G53</f>
        <v>-5.4492399998707697E-2</v>
      </c>
      <c r="O53">
        <f t="shared" ca="1" si="2"/>
        <v>4.2823846799635093E-2</v>
      </c>
      <c r="Q53" s="2">
        <f t="shared" si="3"/>
        <v>40819.795729999998</v>
      </c>
      <c r="R53" s="2"/>
    </row>
    <row r="54" spans="1:20">
      <c r="A54" s="46" t="s">
        <v>58</v>
      </c>
      <c r="B54" s="47"/>
      <c r="C54" s="46">
        <v>56905.389900000002</v>
      </c>
      <c r="D54" s="46">
        <v>2.5999999999999999E-3</v>
      </c>
      <c r="E54">
        <f t="shared" si="0"/>
        <v>12491.969541371493</v>
      </c>
      <c r="F54">
        <f t="shared" si="1"/>
        <v>12492</v>
      </c>
      <c r="G54">
        <f t="shared" si="4"/>
        <v>-5.603839999093907E-2</v>
      </c>
      <c r="J54">
        <f>G54</f>
        <v>-5.603839999093907E-2</v>
      </c>
      <c r="O54">
        <f t="shared" ca="1" si="2"/>
        <v>4.6073238645069181E-2</v>
      </c>
      <c r="Q54" s="2">
        <f t="shared" si="3"/>
        <v>41886.889900000002</v>
      </c>
      <c r="R54" s="2"/>
    </row>
    <row r="55" spans="1:20">
      <c r="A55" s="64" t="s">
        <v>212</v>
      </c>
      <c r="B55" s="5"/>
      <c r="C55" s="17">
        <v>58056.6486</v>
      </c>
      <c r="D55" s="17">
        <v>4.0000000000000002E-4</v>
      </c>
      <c r="E55">
        <f>+(C55-C$7)/C$8</f>
        <v>13117.71476364919</v>
      </c>
      <c r="F55">
        <f>ROUND(2*E55,0)/2-0.5</f>
        <v>13117</v>
      </c>
      <c r="G55">
        <f>+C55-(C$7+F55*C$8)</f>
        <v>1.3150366000045324</v>
      </c>
      <c r="O55">
        <f ca="1">+C$11+C$12*F55</f>
        <v>4.9574738478511085E-2</v>
      </c>
      <c r="Q55" s="2">
        <f>+C55-15018.5</f>
        <v>43038.1486</v>
      </c>
      <c r="T55">
        <f>G55</f>
        <v>1.3150366000045324</v>
      </c>
    </row>
    <row r="56" spans="1:20">
      <c r="B56" s="5"/>
    </row>
    <row r="57" spans="1:20">
      <c r="B57" s="5"/>
    </row>
    <row r="58" spans="1:20">
      <c r="B58" s="5"/>
    </row>
    <row r="59" spans="1:20">
      <c r="B59" s="5"/>
    </row>
    <row r="60" spans="1:20">
      <c r="B60" s="5"/>
    </row>
    <row r="61" spans="1:20">
      <c r="B61" s="5"/>
    </row>
    <row r="62" spans="1:20">
      <c r="B62" s="5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62"/>
  <sheetViews>
    <sheetView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>
      <c r="A1" s="1" t="s">
        <v>56</v>
      </c>
    </row>
    <row r="2" spans="1:6">
      <c r="A2" t="s">
        <v>26</v>
      </c>
      <c r="B2" s="10" t="s">
        <v>38</v>
      </c>
    </row>
    <row r="4" spans="1:6" ht="14.25" thickTop="1" thickBot="1">
      <c r="A4" s="7" t="s">
        <v>0</v>
      </c>
      <c r="C4" s="3">
        <v>28774.409</v>
      </c>
      <c r="D4" s="65">
        <v>1.8398201999999999</v>
      </c>
    </row>
    <row r="5" spans="1:6" ht="13.5" thickTop="1">
      <c r="A5" s="26" t="s">
        <v>45</v>
      </c>
      <c r="B5" s="27"/>
      <c r="C5" s="28">
        <v>-9.5</v>
      </c>
      <c r="D5" s="27" t="s">
        <v>46</v>
      </c>
    </row>
    <row r="6" spans="1:6">
      <c r="A6" s="7" t="s">
        <v>1</v>
      </c>
    </row>
    <row r="7" spans="1:6">
      <c r="A7" t="s">
        <v>2</v>
      </c>
      <c r="C7">
        <f>+C4</f>
        <v>28774.409</v>
      </c>
    </row>
    <row r="8" spans="1:6">
      <c r="A8" t="s">
        <v>3</v>
      </c>
      <c r="C8" s="22">
        <f>D4/2</f>
        <v>0.91991009999999995</v>
      </c>
      <c r="D8" s="23" t="s">
        <v>215</v>
      </c>
    </row>
    <row r="9" spans="1:6">
      <c r="A9" s="39" t="s">
        <v>53</v>
      </c>
      <c r="B9" s="40">
        <v>22</v>
      </c>
      <c r="C9" s="38" t="str">
        <f>"F"&amp;B9</f>
        <v>F22</v>
      </c>
      <c r="D9" s="20" t="str">
        <f>"G"&amp;B9</f>
        <v>G22</v>
      </c>
    </row>
    <row r="10" spans="1:6" ht="13.5" thickBot="1">
      <c r="A10" s="27"/>
      <c r="B10" s="27"/>
      <c r="C10" s="6" t="s">
        <v>21</v>
      </c>
      <c r="D10" s="6" t="s">
        <v>22</v>
      </c>
      <c r="E10" s="27"/>
    </row>
    <row r="11" spans="1:6">
      <c r="A11" s="27" t="s">
        <v>16</v>
      </c>
      <c r="B11" s="27"/>
      <c r="C11" s="37">
        <f ca="1">INTERCEPT(INDIRECT($D$9):G991,INDIRECT($C$9):F991)</f>
        <v>0.1987689339114192</v>
      </c>
      <c r="D11" s="5"/>
      <c r="E11" s="27"/>
    </row>
    <row r="12" spans="1:6">
      <c r="A12" s="27" t="s">
        <v>17</v>
      </c>
      <c r="B12" s="27"/>
      <c r="C12" s="37">
        <f ca="1">SLOPE(INDIRECT($D$9):G991,INDIRECT($C$9):F991)</f>
        <v>-2.2836515922626459E-6</v>
      </c>
      <c r="D12" s="5"/>
      <c r="E12" s="27"/>
    </row>
    <row r="13" spans="1:6">
      <c r="A13" s="27" t="s">
        <v>20</v>
      </c>
      <c r="B13" s="27"/>
      <c r="C13" s="5" t="s">
        <v>14</v>
      </c>
    </row>
    <row r="14" spans="1:6">
      <c r="A14" s="27"/>
      <c r="B14" s="27"/>
      <c r="C14" s="27"/>
    </row>
    <row r="15" spans="1:6">
      <c r="A15" s="29" t="s">
        <v>18</v>
      </c>
      <c r="B15" s="27"/>
      <c r="C15" s="11">
        <f ca="1">(C7+C11)+(C8+C12)*INT(MAX(F21:F3532))</f>
        <v>58056.193471120074</v>
      </c>
      <c r="E15" s="30" t="s">
        <v>51</v>
      </c>
      <c r="F15" s="28">
        <v>1</v>
      </c>
    </row>
    <row r="16" spans="1:6">
      <c r="A16" s="32" t="s">
        <v>4</v>
      </c>
      <c r="B16" s="27"/>
      <c r="C16" s="12">
        <f ca="1">+C8+C12</f>
        <v>0.91990781634840768</v>
      </c>
      <c r="E16" s="30" t="s">
        <v>47</v>
      </c>
      <c r="F16" s="31">
        <f ca="1">NOW()+15018.5+$C$5/24</f>
        <v>60342.728981597218</v>
      </c>
    </row>
    <row r="17" spans="1:18" ht="13.5" thickBot="1">
      <c r="A17" s="30" t="s">
        <v>39</v>
      </c>
      <c r="B17" s="27"/>
      <c r="C17" s="27">
        <f>COUNT(C21:C2190)</f>
        <v>35</v>
      </c>
      <c r="E17" s="30" t="s">
        <v>52</v>
      </c>
      <c r="F17" s="31">
        <f ca="1">ROUND(2*(F16-$C$7)/$C$8,0)/2+F15</f>
        <v>34317.5</v>
      </c>
    </row>
    <row r="18" spans="1:18" ht="14.25" thickTop="1" thickBot="1">
      <c r="A18" s="32" t="s">
        <v>5</v>
      </c>
      <c r="B18" s="27"/>
      <c r="C18" s="34">
        <f ca="1">+C15</f>
        <v>58056.193471120074</v>
      </c>
      <c r="D18" s="35">
        <f ca="1">+C16</f>
        <v>0.91990781634840768</v>
      </c>
      <c r="E18" s="30" t="s">
        <v>48</v>
      </c>
      <c r="F18" s="20">
        <f ca="1">ROUND(2*(F16-$C$15)/$C$16,0)/2+F15</f>
        <v>2486.5</v>
      </c>
    </row>
    <row r="19" spans="1:18" ht="13.5" thickTop="1">
      <c r="E19" s="30" t="s">
        <v>49</v>
      </c>
      <c r="F19" s="33">
        <f ca="1">+$C$15+$C$16*F18-15018.5-$C$5/24</f>
        <v>45325.440089803727</v>
      </c>
    </row>
    <row r="20" spans="1:18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66</v>
      </c>
      <c r="I20" s="9" t="s">
        <v>69</v>
      </c>
      <c r="J20" s="9" t="s">
        <v>63</v>
      </c>
      <c r="K20" s="9" t="s">
        <v>61</v>
      </c>
      <c r="L20" s="9" t="s">
        <v>27</v>
      </c>
      <c r="M20" s="9" t="s">
        <v>28</v>
      </c>
      <c r="N20" s="9" t="s">
        <v>29</v>
      </c>
      <c r="O20" s="9" t="s">
        <v>24</v>
      </c>
      <c r="P20" s="8" t="s">
        <v>23</v>
      </c>
      <c r="Q20" s="6" t="s">
        <v>15</v>
      </c>
      <c r="R20" s="63"/>
    </row>
    <row r="21" spans="1:18">
      <c r="A21" t="s">
        <v>12</v>
      </c>
      <c r="C21" s="24">
        <v>28774.409</v>
      </c>
      <c r="D21" s="24" t="s">
        <v>14</v>
      </c>
      <c r="E21">
        <f t="shared" ref="E21:E55" si="0">+(C21-C$7)/C$8</f>
        <v>0</v>
      </c>
      <c r="F21">
        <f t="shared" ref="F21:F55" si="1">ROUND(2*E21,0)/2</f>
        <v>0</v>
      </c>
      <c r="H21">
        <v>0</v>
      </c>
      <c r="O21">
        <f t="shared" ref="O21:O55" ca="1" si="2">+C$11+C$12*F21</f>
        <v>0.1987689339114192</v>
      </c>
      <c r="Q21" s="2">
        <f t="shared" ref="Q21:Q55" si="3">+C21-15018.5</f>
        <v>13755.909</v>
      </c>
      <c r="R21" s="2"/>
    </row>
    <row r="22" spans="1:18">
      <c r="A22" s="61" t="s">
        <v>77</v>
      </c>
      <c r="B22" s="62" t="s">
        <v>42</v>
      </c>
      <c r="C22" s="61">
        <v>32761.49</v>
      </c>
      <c r="D22" s="61"/>
      <c r="E22">
        <f t="shared" si="0"/>
        <v>4334.2072230753874</v>
      </c>
      <c r="F22">
        <f t="shared" si="1"/>
        <v>4334</v>
      </c>
      <c r="G22">
        <f t="shared" ref="G22:G55" si="4">+C22-(C$7+F22*C$8)</f>
        <v>0.19062660000417964</v>
      </c>
      <c r="I22">
        <f t="shared" ref="I22:I35" si="5">G22</f>
        <v>0.19062660000417964</v>
      </c>
      <c r="O22">
        <f t="shared" ca="1" si="2"/>
        <v>0.18887158791055289</v>
      </c>
      <c r="Q22" s="2">
        <f t="shared" si="3"/>
        <v>17742.990000000002</v>
      </c>
      <c r="R22" s="2"/>
    </row>
    <row r="23" spans="1:18">
      <c r="A23" s="61" t="s">
        <v>77</v>
      </c>
      <c r="B23" s="62" t="s">
        <v>42</v>
      </c>
      <c r="C23" s="61">
        <v>32763.345000000001</v>
      </c>
      <c r="D23" s="61"/>
      <c r="E23">
        <f t="shared" si="0"/>
        <v>4336.2237244704693</v>
      </c>
      <c r="F23">
        <f t="shared" si="1"/>
        <v>4336</v>
      </c>
      <c r="G23">
        <f t="shared" si="4"/>
        <v>0.20580640000116546</v>
      </c>
      <c r="I23">
        <f t="shared" si="5"/>
        <v>0.20580640000116546</v>
      </c>
      <c r="O23">
        <f t="shared" ca="1" si="2"/>
        <v>0.18886702060736837</v>
      </c>
      <c r="Q23" s="2">
        <f t="shared" si="3"/>
        <v>17744.845000000001</v>
      </c>
      <c r="R23" s="2"/>
    </row>
    <row r="24" spans="1:18">
      <c r="A24" s="61" t="s">
        <v>77</v>
      </c>
      <c r="B24" s="62" t="s">
        <v>42</v>
      </c>
      <c r="C24" s="61">
        <v>32914.175000000003</v>
      </c>
      <c r="D24" s="61"/>
      <c r="E24">
        <f t="shared" si="0"/>
        <v>4500.185398551449</v>
      </c>
      <c r="F24">
        <f t="shared" si="1"/>
        <v>4500</v>
      </c>
      <c r="G24">
        <f t="shared" si="4"/>
        <v>0.1705500000025495</v>
      </c>
      <c r="I24">
        <f t="shared" si="5"/>
        <v>0.1705500000025495</v>
      </c>
      <c r="O24">
        <f t="shared" ca="1" si="2"/>
        <v>0.1884925017462373</v>
      </c>
      <c r="Q24" s="2">
        <f t="shared" si="3"/>
        <v>17895.675000000003</v>
      </c>
      <c r="R24" s="2"/>
    </row>
    <row r="25" spans="1:18">
      <c r="A25" s="61" t="s">
        <v>77</v>
      </c>
      <c r="B25" s="62" t="s">
        <v>42</v>
      </c>
      <c r="C25" s="61">
        <v>33922.411999999997</v>
      </c>
      <c r="D25" s="61"/>
      <c r="E25">
        <f t="shared" si="0"/>
        <v>5596.2022810707231</v>
      </c>
      <c r="F25">
        <f t="shared" si="1"/>
        <v>5596</v>
      </c>
      <c r="G25">
        <f t="shared" si="4"/>
        <v>0.18608039999526227</v>
      </c>
      <c r="I25">
        <f t="shared" si="5"/>
        <v>0.18608039999526227</v>
      </c>
      <c r="O25">
        <f t="shared" ca="1" si="2"/>
        <v>0.18598961960111743</v>
      </c>
      <c r="Q25" s="2">
        <f t="shared" si="3"/>
        <v>18903.911999999997</v>
      </c>
      <c r="R25" s="2"/>
    </row>
    <row r="26" spans="1:18">
      <c r="A26" s="61" t="s">
        <v>77</v>
      </c>
      <c r="B26" s="62" t="s">
        <v>42</v>
      </c>
      <c r="C26" s="61">
        <v>33946.33</v>
      </c>
      <c r="D26" s="61"/>
      <c r="E26">
        <f t="shared" si="0"/>
        <v>5622.2026478457001</v>
      </c>
      <c r="F26">
        <f t="shared" si="1"/>
        <v>5622</v>
      </c>
      <c r="G26">
        <f t="shared" si="4"/>
        <v>0.18641780000325525</v>
      </c>
      <c r="I26">
        <f t="shared" si="5"/>
        <v>0.18641780000325525</v>
      </c>
      <c r="O26">
        <f t="shared" ca="1" si="2"/>
        <v>0.18593024465971861</v>
      </c>
      <c r="Q26" s="2">
        <f t="shared" si="3"/>
        <v>18927.830000000002</v>
      </c>
      <c r="R26" s="2"/>
    </row>
    <row r="27" spans="1:18">
      <c r="A27" s="61" t="s">
        <v>77</v>
      </c>
      <c r="B27" s="62" t="s">
        <v>42</v>
      </c>
      <c r="C27" s="61">
        <v>34150.548000000003</v>
      </c>
      <c r="D27" s="61"/>
      <c r="E27">
        <f t="shared" si="0"/>
        <v>5844.2004278461591</v>
      </c>
      <c r="F27">
        <f t="shared" si="1"/>
        <v>5844</v>
      </c>
      <c r="G27">
        <f t="shared" si="4"/>
        <v>0.18437560000165831</v>
      </c>
      <c r="I27">
        <f t="shared" si="5"/>
        <v>0.18437560000165831</v>
      </c>
      <c r="O27">
        <f t="shared" ca="1" si="2"/>
        <v>0.18542327400623629</v>
      </c>
      <c r="Q27" s="2">
        <f t="shared" si="3"/>
        <v>19132.048000000003</v>
      </c>
      <c r="R27" s="2"/>
    </row>
    <row r="28" spans="1:18">
      <c r="A28" s="61" t="s">
        <v>77</v>
      </c>
      <c r="B28" s="62" t="s">
        <v>42</v>
      </c>
      <c r="C28" s="61">
        <v>34634.404999999999</v>
      </c>
      <c r="D28" s="61"/>
      <c r="E28">
        <f t="shared" si="0"/>
        <v>6370.1833472640419</v>
      </c>
      <c r="F28">
        <f t="shared" si="1"/>
        <v>6370</v>
      </c>
      <c r="G28">
        <f t="shared" si="4"/>
        <v>0.16866299999674084</v>
      </c>
      <c r="I28">
        <f t="shared" si="5"/>
        <v>0.16866299999674084</v>
      </c>
      <c r="O28">
        <f t="shared" ca="1" si="2"/>
        <v>0.18422207326870615</v>
      </c>
      <c r="Q28" s="2">
        <f t="shared" si="3"/>
        <v>19615.904999999999</v>
      </c>
      <c r="R28" s="2"/>
    </row>
    <row r="29" spans="1:18">
      <c r="A29" s="61" t="s">
        <v>77</v>
      </c>
      <c r="B29" s="62" t="s">
        <v>42</v>
      </c>
      <c r="C29" s="61">
        <v>34636.26</v>
      </c>
      <c r="D29" s="61"/>
      <c r="E29">
        <f t="shared" si="0"/>
        <v>6372.1998486591274</v>
      </c>
      <c r="F29">
        <f t="shared" si="1"/>
        <v>6372</v>
      </c>
      <c r="G29">
        <f t="shared" si="4"/>
        <v>0.18384280000464059</v>
      </c>
      <c r="I29">
        <f t="shared" si="5"/>
        <v>0.18384280000464059</v>
      </c>
      <c r="O29">
        <f t="shared" ca="1" si="2"/>
        <v>0.18421750596552161</v>
      </c>
      <c r="Q29" s="2">
        <f t="shared" si="3"/>
        <v>19617.760000000002</v>
      </c>
      <c r="R29" s="2"/>
    </row>
    <row r="30" spans="1:18">
      <c r="A30" s="61" t="s">
        <v>77</v>
      </c>
      <c r="B30" s="62" t="s">
        <v>42</v>
      </c>
      <c r="C30" s="61">
        <v>34706.165000000001</v>
      </c>
      <c r="D30" s="61"/>
      <c r="E30">
        <f t="shared" si="0"/>
        <v>6448.1909699654361</v>
      </c>
      <c r="F30">
        <f t="shared" si="1"/>
        <v>6448</v>
      </c>
      <c r="G30">
        <f t="shared" si="4"/>
        <v>0.17567520000011427</v>
      </c>
      <c r="I30">
        <f t="shared" si="5"/>
        <v>0.17567520000011427</v>
      </c>
      <c r="O30">
        <f t="shared" ca="1" si="2"/>
        <v>0.18404394844450966</v>
      </c>
      <c r="Q30" s="2">
        <f t="shared" si="3"/>
        <v>19687.665000000001</v>
      </c>
      <c r="R30" s="2"/>
    </row>
    <row r="31" spans="1:18">
      <c r="A31" s="61" t="s">
        <v>77</v>
      </c>
      <c r="B31" s="62" t="s">
        <v>42</v>
      </c>
      <c r="C31" s="61">
        <v>35195.565000000002</v>
      </c>
      <c r="D31" s="61"/>
      <c r="E31">
        <f t="shared" si="0"/>
        <v>6980.199478188144</v>
      </c>
      <c r="F31">
        <f t="shared" si="1"/>
        <v>6980</v>
      </c>
      <c r="G31">
        <f t="shared" si="4"/>
        <v>0.18350199999986216</v>
      </c>
      <c r="I31">
        <f t="shared" si="5"/>
        <v>0.18350199999986216</v>
      </c>
      <c r="O31">
        <f t="shared" ca="1" si="2"/>
        <v>0.18282904579742593</v>
      </c>
      <c r="Q31" s="2">
        <f t="shared" si="3"/>
        <v>20177.065000000002</v>
      </c>
      <c r="R31" s="2"/>
    </row>
    <row r="32" spans="1:18">
      <c r="A32" s="61" t="s">
        <v>77</v>
      </c>
      <c r="B32" s="62" t="s">
        <v>42</v>
      </c>
      <c r="C32" s="61">
        <v>35368.495000000003</v>
      </c>
      <c r="D32" s="61"/>
      <c r="E32">
        <f t="shared" si="0"/>
        <v>7168.1852389706382</v>
      </c>
      <c r="F32">
        <f t="shared" si="1"/>
        <v>7168</v>
      </c>
      <c r="G32">
        <f t="shared" si="4"/>
        <v>0.17040320000523934</v>
      </c>
      <c r="I32">
        <f t="shared" si="5"/>
        <v>0.17040320000523934</v>
      </c>
      <c r="O32">
        <f t="shared" ca="1" si="2"/>
        <v>0.18239971929808055</v>
      </c>
      <c r="Q32" s="2">
        <f t="shared" si="3"/>
        <v>20349.995000000003</v>
      </c>
      <c r="R32" s="2"/>
    </row>
    <row r="33" spans="1:32">
      <c r="A33" s="61" t="s">
        <v>77</v>
      </c>
      <c r="B33" s="62" t="s">
        <v>42</v>
      </c>
      <c r="C33" s="61">
        <v>35370.362000000001</v>
      </c>
      <c r="D33" s="61"/>
      <c r="E33">
        <f t="shared" si="0"/>
        <v>7170.2147851186783</v>
      </c>
      <c r="F33">
        <f t="shared" si="1"/>
        <v>7170</v>
      </c>
      <c r="G33">
        <f t="shared" si="4"/>
        <v>0.19758300000103191</v>
      </c>
      <c r="I33">
        <f t="shared" si="5"/>
        <v>0.19758300000103191</v>
      </c>
      <c r="O33">
        <f t="shared" ca="1" si="2"/>
        <v>0.18239515199489603</v>
      </c>
      <c r="Q33" s="2">
        <f t="shared" si="3"/>
        <v>20351.862000000001</v>
      </c>
      <c r="R33" s="2"/>
    </row>
    <row r="34" spans="1:32">
      <c r="A34" s="61" t="s">
        <v>77</v>
      </c>
      <c r="B34" s="62" t="s">
        <v>42</v>
      </c>
      <c r="C34" s="61">
        <v>35453.152999999998</v>
      </c>
      <c r="D34" s="61"/>
      <c r="E34">
        <f t="shared" si="0"/>
        <v>7260.213796978639</v>
      </c>
      <c r="F34">
        <f t="shared" si="1"/>
        <v>7260</v>
      </c>
      <c r="G34">
        <f t="shared" si="4"/>
        <v>0.19667399999889312</v>
      </c>
      <c r="I34">
        <f t="shared" si="5"/>
        <v>0.19667399999889312</v>
      </c>
      <c r="O34">
        <f t="shared" ca="1" si="2"/>
        <v>0.18218962335159239</v>
      </c>
      <c r="Q34" s="2">
        <f t="shared" si="3"/>
        <v>20434.652999999998</v>
      </c>
      <c r="R34" s="2"/>
    </row>
    <row r="35" spans="1:32">
      <c r="A35" s="61" t="s">
        <v>77</v>
      </c>
      <c r="B35" s="62" t="s">
        <v>42</v>
      </c>
      <c r="C35" s="61">
        <v>36816.449000000001</v>
      </c>
      <c r="D35" s="61"/>
      <c r="E35">
        <f t="shared" si="0"/>
        <v>8742.2020912695716</v>
      </c>
      <c r="F35">
        <f t="shared" si="1"/>
        <v>8742</v>
      </c>
      <c r="G35">
        <f t="shared" si="4"/>
        <v>0.18590580000454793</v>
      </c>
      <c r="I35">
        <f t="shared" si="5"/>
        <v>0.18590580000454793</v>
      </c>
      <c r="O35">
        <f t="shared" ca="1" si="2"/>
        <v>0.17880525169185915</v>
      </c>
      <c r="Q35" s="2">
        <f t="shared" si="3"/>
        <v>21797.949000000001</v>
      </c>
      <c r="R35" s="2"/>
    </row>
    <row r="36" spans="1:32">
      <c r="A36" t="s">
        <v>36</v>
      </c>
      <c r="C36" s="24">
        <v>49124.812299999998</v>
      </c>
      <c r="D36" s="24">
        <v>1.5E-3</v>
      </c>
      <c r="E36">
        <f t="shared" si="0"/>
        <v>22122.16530724035</v>
      </c>
      <c r="F36">
        <f t="shared" si="1"/>
        <v>22122</v>
      </c>
      <c r="G36">
        <f t="shared" si="4"/>
        <v>0.15206780000153231</v>
      </c>
      <c r="J36">
        <f>G36</f>
        <v>0.15206780000153231</v>
      </c>
      <c r="O36">
        <f t="shared" ca="1" si="2"/>
        <v>0.14824999338738495</v>
      </c>
      <c r="Q36" s="2">
        <f t="shared" si="3"/>
        <v>34106.312299999998</v>
      </c>
      <c r="R36" s="2"/>
      <c r="S36">
        <f>+F36-F35</f>
        <v>13380</v>
      </c>
    </row>
    <row r="37" spans="1:32">
      <c r="A37" s="61" t="s">
        <v>125</v>
      </c>
      <c r="B37" s="62" t="s">
        <v>42</v>
      </c>
      <c r="C37" s="61">
        <v>49198.405299999999</v>
      </c>
      <c r="D37" s="61" t="s">
        <v>69</v>
      </c>
      <c r="E37">
        <f t="shared" si="0"/>
        <v>22202.165515956396</v>
      </c>
      <c r="F37">
        <f t="shared" si="1"/>
        <v>22202</v>
      </c>
      <c r="G37">
        <f t="shared" si="4"/>
        <v>0.15225980000104755</v>
      </c>
      <c r="J37">
        <f>G37</f>
        <v>0.15225980000104755</v>
      </c>
      <c r="O37">
        <f t="shared" ca="1" si="2"/>
        <v>0.14806730126000395</v>
      </c>
      <c r="Q37" s="2">
        <f t="shared" si="3"/>
        <v>34179.905299999999</v>
      </c>
      <c r="R37" s="2"/>
    </row>
    <row r="38" spans="1:32">
      <c r="A38" t="s">
        <v>31</v>
      </c>
      <c r="C38" s="24">
        <v>49279.355000000003</v>
      </c>
      <c r="D38" s="24">
        <v>2E-3</v>
      </c>
      <c r="E38">
        <f t="shared" si="0"/>
        <v>22290.162919180912</v>
      </c>
      <c r="F38">
        <f t="shared" si="1"/>
        <v>22290</v>
      </c>
      <c r="G38">
        <f t="shared" si="4"/>
        <v>0.14987100000871578</v>
      </c>
      <c r="I38">
        <f>G38</f>
        <v>0.14987100000871578</v>
      </c>
      <c r="O38">
        <f t="shared" ca="1" si="2"/>
        <v>0.14786633991988482</v>
      </c>
      <c r="Q38" s="2">
        <f t="shared" si="3"/>
        <v>34260.855000000003</v>
      </c>
      <c r="R38" s="2"/>
      <c r="S38">
        <f>+F38-F37</f>
        <v>88</v>
      </c>
      <c r="AB38">
        <v>8</v>
      </c>
      <c r="AD38" t="s">
        <v>30</v>
      </c>
      <c r="AF38" t="s">
        <v>32</v>
      </c>
    </row>
    <row r="39" spans="1:32">
      <c r="A39" t="s">
        <v>31</v>
      </c>
      <c r="C39" s="24">
        <v>49658.347000000002</v>
      </c>
      <c r="D39" s="24">
        <v>4.0000000000000001E-3</v>
      </c>
      <c r="E39">
        <f t="shared" si="0"/>
        <v>22702.151003668732</v>
      </c>
      <c r="F39">
        <f t="shared" si="1"/>
        <v>22702</v>
      </c>
      <c r="G39">
        <f t="shared" si="4"/>
        <v>0.13890979999996489</v>
      </c>
      <c r="I39">
        <f>G39</f>
        <v>0.13890979999996489</v>
      </c>
      <c r="O39">
        <f t="shared" ca="1" si="2"/>
        <v>0.14692547546387261</v>
      </c>
      <c r="Q39" s="2">
        <f t="shared" si="3"/>
        <v>34639.847000000002</v>
      </c>
      <c r="R39" s="2"/>
      <c r="S39">
        <f>+F39-F38</f>
        <v>412</v>
      </c>
      <c r="AB39">
        <v>8</v>
      </c>
      <c r="AD39" t="s">
        <v>30</v>
      </c>
      <c r="AF39" t="s">
        <v>32</v>
      </c>
    </row>
    <row r="40" spans="1:32">
      <c r="A40" t="s">
        <v>34</v>
      </c>
      <c r="C40" s="24">
        <v>50324.366000000002</v>
      </c>
      <c r="D40" s="24">
        <v>2.5000000000000001E-3</v>
      </c>
      <c r="E40">
        <f t="shared" si="0"/>
        <v>23426.155447146415</v>
      </c>
      <c r="F40">
        <f t="shared" si="1"/>
        <v>23426</v>
      </c>
      <c r="G40">
        <f t="shared" si="4"/>
        <v>0.14299739999842132</v>
      </c>
      <c r="I40">
        <f>G40</f>
        <v>0.14299739999842132</v>
      </c>
      <c r="O40">
        <f t="shared" ca="1" si="2"/>
        <v>0.14527211171107446</v>
      </c>
      <c r="Q40" s="2">
        <f t="shared" si="3"/>
        <v>35305.866000000002</v>
      </c>
      <c r="R40" s="2"/>
      <c r="S40">
        <f>+F40-F39</f>
        <v>724</v>
      </c>
      <c r="AB40">
        <v>11</v>
      </c>
      <c r="AD40" t="s">
        <v>33</v>
      </c>
      <c r="AF40" t="s">
        <v>32</v>
      </c>
    </row>
    <row r="41" spans="1:32">
      <c r="A41" s="61" t="s">
        <v>138</v>
      </c>
      <c r="B41" s="62" t="s">
        <v>42</v>
      </c>
      <c r="C41" s="61">
        <v>50324.366600000001</v>
      </c>
      <c r="D41" s="61" t="s">
        <v>69</v>
      </c>
      <c r="E41">
        <f t="shared" si="0"/>
        <v>23426.156099384061</v>
      </c>
      <c r="F41">
        <f t="shared" si="1"/>
        <v>23426</v>
      </c>
      <c r="G41">
        <f t="shared" si="4"/>
        <v>0.14359739999781596</v>
      </c>
      <c r="J41">
        <f>G41</f>
        <v>0.14359739999781596</v>
      </c>
      <c r="O41">
        <f t="shared" ca="1" si="2"/>
        <v>0.14527211171107446</v>
      </c>
      <c r="Q41" s="2">
        <f t="shared" si="3"/>
        <v>35305.866600000001</v>
      </c>
      <c r="R41" s="2"/>
    </row>
    <row r="42" spans="1:32">
      <c r="A42" s="36" t="s">
        <v>50</v>
      </c>
      <c r="B42" s="5" t="s">
        <v>42</v>
      </c>
      <c r="C42" s="17">
        <v>50664.733500000002</v>
      </c>
      <c r="D42" s="17">
        <v>4.0000000000000002E-4</v>
      </c>
      <c r="E42">
        <f t="shared" si="0"/>
        <v>23796.15627657529</v>
      </c>
      <c r="F42">
        <f t="shared" si="1"/>
        <v>23796</v>
      </c>
      <c r="G42">
        <f t="shared" si="4"/>
        <v>0.14376040000206558</v>
      </c>
      <c r="K42">
        <f>G42</f>
        <v>0.14376040000206558</v>
      </c>
      <c r="O42">
        <f t="shared" ca="1" si="2"/>
        <v>0.14442716062193728</v>
      </c>
      <c r="Q42" s="2">
        <f t="shared" si="3"/>
        <v>35646.233500000002</v>
      </c>
      <c r="R42" s="2"/>
    </row>
    <row r="43" spans="1:32">
      <c r="A43" s="61" t="s">
        <v>147</v>
      </c>
      <c r="B43" s="62" t="s">
        <v>42</v>
      </c>
      <c r="C43" s="61">
        <v>51713.427000000003</v>
      </c>
      <c r="D43" s="61" t="s">
        <v>69</v>
      </c>
      <c r="E43">
        <f t="shared" si="0"/>
        <v>24936.151913105427</v>
      </c>
      <c r="F43">
        <f t="shared" si="1"/>
        <v>24936</v>
      </c>
      <c r="G43">
        <f t="shared" si="4"/>
        <v>0.13974640000378713</v>
      </c>
      <c r="I43">
        <f>G43</f>
        <v>0.13974640000378713</v>
      </c>
      <c r="O43">
        <f t="shared" ca="1" si="2"/>
        <v>0.14182379780675786</v>
      </c>
      <c r="Q43" s="2">
        <f t="shared" si="3"/>
        <v>36694.927000000003</v>
      </c>
      <c r="R43" s="2"/>
    </row>
    <row r="44" spans="1:32">
      <c r="A44" s="14" t="s">
        <v>41</v>
      </c>
      <c r="B44" s="15" t="s">
        <v>42</v>
      </c>
      <c r="C44" s="25">
        <v>53895.447999999997</v>
      </c>
      <c r="D44" s="25">
        <v>6.9999999999999999E-4</v>
      </c>
      <c r="E44">
        <f t="shared" si="0"/>
        <v>27308.145654667776</v>
      </c>
      <c r="F44">
        <f t="shared" si="1"/>
        <v>27308</v>
      </c>
      <c r="G44">
        <f t="shared" si="4"/>
        <v>0.13398920000327053</v>
      </c>
      <c r="J44">
        <f>G44</f>
        <v>0.13398920000327053</v>
      </c>
      <c r="O44">
        <f t="shared" ca="1" si="2"/>
        <v>0.13640697622991088</v>
      </c>
      <c r="Q44" s="2">
        <f t="shared" si="3"/>
        <v>38876.947999999997</v>
      </c>
      <c r="R44" s="2"/>
    </row>
    <row r="45" spans="1:32">
      <c r="A45" s="61" t="s">
        <v>162</v>
      </c>
      <c r="B45" s="62" t="s">
        <v>42</v>
      </c>
      <c r="C45" s="61">
        <v>54324.125699999997</v>
      </c>
      <c r="D45" s="61" t="s">
        <v>69</v>
      </c>
      <c r="E45">
        <f t="shared" si="0"/>
        <v>27774.145212668063</v>
      </c>
      <c r="F45">
        <f t="shared" si="1"/>
        <v>27774</v>
      </c>
      <c r="G45">
        <f t="shared" si="4"/>
        <v>0.13358259999949951</v>
      </c>
      <c r="K45">
        <f>G45</f>
        <v>0.13358259999949951</v>
      </c>
      <c r="O45">
        <f t="shared" ca="1" si="2"/>
        <v>0.13534279458791648</v>
      </c>
      <c r="Q45" s="2">
        <f t="shared" si="3"/>
        <v>39305.625699999997</v>
      </c>
      <c r="R45" s="2"/>
    </row>
    <row r="46" spans="1:32">
      <c r="A46" s="61" t="s">
        <v>168</v>
      </c>
      <c r="B46" s="62" t="s">
        <v>42</v>
      </c>
      <c r="C46" s="61">
        <v>54366.448600000003</v>
      </c>
      <c r="D46" s="61" t="s">
        <v>69</v>
      </c>
      <c r="E46">
        <f t="shared" si="0"/>
        <v>27820.152860589318</v>
      </c>
      <c r="F46">
        <f t="shared" si="1"/>
        <v>27820</v>
      </c>
      <c r="G46">
        <f t="shared" si="4"/>
        <v>0.14061800000490621</v>
      </c>
      <c r="K46">
        <f>G46</f>
        <v>0.14061800000490621</v>
      </c>
      <c r="O46">
        <f t="shared" ca="1" si="2"/>
        <v>0.13523774661467239</v>
      </c>
      <c r="Q46" s="2">
        <f t="shared" si="3"/>
        <v>39347.948600000003</v>
      </c>
      <c r="R46" s="2"/>
    </row>
    <row r="47" spans="1:32">
      <c r="A47" s="41" t="s">
        <v>55</v>
      </c>
      <c r="B47" s="42" t="s">
        <v>42</v>
      </c>
      <c r="C47" s="41">
        <v>55126.288399999998</v>
      </c>
      <c r="D47" s="41">
        <v>2.0000000000000001E-4</v>
      </c>
      <c r="E47">
        <f t="shared" si="0"/>
        <v>28646.146400610232</v>
      </c>
      <c r="F47">
        <f t="shared" si="1"/>
        <v>28646</v>
      </c>
      <c r="G47">
        <f t="shared" si="4"/>
        <v>0.13467540000419831</v>
      </c>
      <c r="J47">
        <f>G47</f>
        <v>0.13467540000419831</v>
      </c>
      <c r="O47">
        <f t="shared" ca="1" si="2"/>
        <v>0.13335145039946344</v>
      </c>
      <c r="Q47" s="2">
        <f t="shared" si="3"/>
        <v>40107.788399999998</v>
      </c>
      <c r="R47" s="2"/>
    </row>
    <row r="48" spans="1:32">
      <c r="A48" s="41" t="s">
        <v>55</v>
      </c>
      <c r="B48" s="42" t="s">
        <v>42</v>
      </c>
      <c r="C48" s="41">
        <v>55376.504000000001</v>
      </c>
      <c r="D48" s="41">
        <v>1.5E-3</v>
      </c>
      <c r="E48">
        <f t="shared" si="0"/>
        <v>28918.146458007148</v>
      </c>
      <c r="F48">
        <f t="shared" si="1"/>
        <v>28918</v>
      </c>
      <c r="G48">
        <f t="shared" si="4"/>
        <v>0.13472820000606589</v>
      </c>
      <c r="J48">
        <f>G48</f>
        <v>0.13472820000606589</v>
      </c>
      <c r="O48">
        <f t="shared" ca="1" si="2"/>
        <v>0.132730297166368</v>
      </c>
      <c r="Q48" s="2">
        <f t="shared" si="3"/>
        <v>40358.004000000001</v>
      </c>
      <c r="R48" s="2"/>
    </row>
    <row r="49" spans="1:18">
      <c r="A49" s="41" t="s">
        <v>54</v>
      </c>
      <c r="B49" s="42" t="s">
        <v>42</v>
      </c>
      <c r="C49" s="41">
        <v>55400.419199999997</v>
      </c>
      <c r="D49" s="41">
        <v>2.0000000000000001E-4</v>
      </c>
      <c r="E49">
        <f t="shared" si="0"/>
        <v>28944.143781006424</v>
      </c>
      <c r="F49">
        <f t="shared" si="1"/>
        <v>28944</v>
      </c>
      <c r="G49">
        <f t="shared" si="4"/>
        <v>0.13226559999748133</v>
      </c>
      <c r="K49">
        <f>G49</f>
        <v>0.13226559999748133</v>
      </c>
      <c r="O49">
        <f t="shared" ca="1" si="2"/>
        <v>0.13267092222496918</v>
      </c>
      <c r="Q49" s="2">
        <f t="shared" si="3"/>
        <v>40381.919199999997</v>
      </c>
      <c r="R49" s="2"/>
    </row>
    <row r="50" spans="1:18">
      <c r="A50" s="43" t="s">
        <v>57</v>
      </c>
      <c r="B50" s="44" t="s">
        <v>42</v>
      </c>
      <c r="C50" s="45">
        <v>55698.470029999997</v>
      </c>
      <c r="D50" s="45">
        <v>2.0000000000000001E-4</v>
      </c>
      <c r="E50">
        <f t="shared" si="0"/>
        <v>29268.143734914964</v>
      </c>
      <c r="F50">
        <f t="shared" si="1"/>
        <v>29268</v>
      </c>
      <c r="G50">
        <f t="shared" si="4"/>
        <v>0.13222319999476895</v>
      </c>
      <c r="K50">
        <f>G50</f>
        <v>0.13222319999476895</v>
      </c>
      <c r="O50">
        <f t="shared" ca="1" si="2"/>
        <v>0.13193101910907606</v>
      </c>
      <c r="Q50" s="2">
        <f t="shared" si="3"/>
        <v>40679.970029999997</v>
      </c>
      <c r="R50" s="2"/>
    </row>
    <row r="51" spans="1:18">
      <c r="A51" s="61" t="s">
        <v>197</v>
      </c>
      <c r="B51" s="62" t="s">
        <v>42</v>
      </c>
      <c r="C51" s="61">
        <v>55801.5003</v>
      </c>
      <c r="D51" s="61" t="s">
        <v>69</v>
      </c>
      <c r="E51">
        <f t="shared" si="0"/>
        <v>29380.144103211827</v>
      </c>
      <c r="F51">
        <f t="shared" si="1"/>
        <v>29380</v>
      </c>
      <c r="G51">
        <f t="shared" si="4"/>
        <v>0.13256199999887031</v>
      </c>
      <c r="K51">
        <f>G51</f>
        <v>0.13256199999887031</v>
      </c>
      <c r="O51">
        <f t="shared" ca="1" si="2"/>
        <v>0.13167525013074266</v>
      </c>
      <c r="Q51" s="2">
        <f t="shared" si="3"/>
        <v>40783.0003</v>
      </c>
      <c r="R51" s="2"/>
    </row>
    <row r="52" spans="1:18">
      <c r="A52" s="43" t="s">
        <v>57</v>
      </c>
      <c r="B52" s="44" t="s">
        <v>42</v>
      </c>
      <c r="C52" s="45">
        <v>55803.340909999999</v>
      </c>
      <c r="D52" s="45">
        <v>2.0000000000000001E-4</v>
      </c>
      <c r="E52">
        <f t="shared" si="0"/>
        <v>29382.144961773982</v>
      </c>
      <c r="F52">
        <f t="shared" si="1"/>
        <v>29382</v>
      </c>
      <c r="G52">
        <f t="shared" si="4"/>
        <v>0.13335180000285618</v>
      </c>
      <c r="K52">
        <f>G52</f>
        <v>0.13335180000285618</v>
      </c>
      <c r="O52">
        <f t="shared" ca="1" si="2"/>
        <v>0.13167068282755814</v>
      </c>
      <c r="Q52" s="2">
        <f t="shared" si="3"/>
        <v>40784.840909999999</v>
      </c>
      <c r="R52" s="2"/>
    </row>
    <row r="53" spans="1:18">
      <c r="A53" s="43" t="s">
        <v>57</v>
      </c>
      <c r="B53" s="44" t="s">
        <v>42</v>
      </c>
      <c r="C53" s="45">
        <v>55838.295729999998</v>
      </c>
      <c r="D53" s="45">
        <v>1E-4</v>
      </c>
      <c r="E53">
        <f t="shared" si="0"/>
        <v>29420.143044412711</v>
      </c>
      <c r="F53">
        <f t="shared" si="1"/>
        <v>29420</v>
      </c>
      <c r="G53">
        <f t="shared" si="4"/>
        <v>0.13158800000383053</v>
      </c>
      <c r="K53">
        <f>G53</f>
        <v>0.13158800000383053</v>
      </c>
      <c r="O53">
        <f t="shared" ca="1" si="2"/>
        <v>0.13158390406705217</v>
      </c>
      <c r="Q53" s="2">
        <f t="shared" si="3"/>
        <v>40819.795729999998</v>
      </c>
      <c r="R53" s="2"/>
    </row>
    <row r="54" spans="1:18">
      <c r="A54" s="46" t="s">
        <v>58</v>
      </c>
      <c r="B54" s="47"/>
      <c r="C54" s="46">
        <v>56905.389900000002</v>
      </c>
      <c r="D54" s="46">
        <v>2.5999999999999999E-3</v>
      </c>
      <c r="E54">
        <f t="shared" si="0"/>
        <v>30580.141363813706</v>
      </c>
      <c r="F54">
        <f t="shared" si="1"/>
        <v>30580</v>
      </c>
      <c r="G54">
        <f t="shared" si="4"/>
        <v>0.1300420000043232</v>
      </c>
      <c r="J54">
        <f>G54</f>
        <v>0.1300420000043232</v>
      </c>
      <c r="O54">
        <f t="shared" ca="1" si="2"/>
        <v>0.12893486822002748</v>
      </c>
      <c r="Q54" s="2">
        <f t="shared" si="3"/>
        <v>41886.889900000002</v>
      </c>
      <c r="R54" s="2"/>
    </row>
    <row r="55" spans="1:18">
      <c r="A55" s="64" t="s">
        <v>213</v>
      </c>
      <c r="B55" s="5"/>
      <c r="C55" s="17">
        <v>58056.6486</v>
      </c>
      <c r="D55" s="17">
        <v>4.0000000000000002E-4</v>
      </c>
      <c r="E55">
        <f t="shared" si="0"/>
        <v>31831.631808369104</v>
      </c>
      <c r="F55">
        <f t="shared" si="1"/>
        <v>31831.5</v>
      </c>
      <c r="G55">
        <f t="shared" si="4"/>
        <v>0.1212518500033184</v>
      </c>
      <c r="K55">
        <f>G55</f>
        <v>0.1212518500033184</v>
      </c>
      <c r="O55">
        <f t="shared" ca="1" si="2"/>
        <v>0.12607687825231079</v>
      </c>
      <c r="Q55" s="2">
        <f t="shared" si="3"/>
        <v>43038.1486</v>
      </c>
    </row>
    <row r="56" spans="1:18">
      <c r="B56" s="5"/>
    </row>
    <row r="57" spans="1:18">
      <c r="B57" s="5"/>
    </row>
    <row r="58" spans="1:18">
      <c r="B58" s="5"/>
    </row>
    <row r="59" spans="1:18">
      <c r="B59" s="5"/>
    </row>
    <row r="60" spans="1:18">
      <c r="B60" s="5"/>
    </row>
    <row r="61" spans="1:18">
      <c r="B61" s="5"/>
    </row>
    <row r="62" spans="1:18">
      <c r="B62" s="5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>
      <selection activeCell="F37" sqref="F3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40</v>
      </c>
    </row>
    <row r="2" spans="1:4">
      <c r="A2" t="s">
        <v>26</v>
      </c>
      <c r="B2" s="10" t="s">
        <v>38</v>
      </c>
    </row>
    <row r="4" spans="1:4">
      <c r="A4" s="7" t="s">
        <v>0</v>
      </c>
      <c r="C4" s="3">
        <v>28774.409</v>
      </c>
      <c r="D4" s="19">
        <v>0.75077530000000003</v>
      </c>
    </row>
    <row r="5" spans="1:4">
      <c r="D5" s="20" t="s">
        <v>44</v>
      </c>
    </row>
    <row r="6" spans="1:4">
      <c r="A6" s="7" t="s">
        <v>1</v>
      </c>
    </row>
    <row r="7" spans="1:4">
      <c r="A7" t="s">
        <v>2</v>
      </c>
      <c r="C7">
        <f>+C4</f>
        <v>28774.409</v>
      </c>
    </row>
    <row r="8" spans="1:4">
      <c r="A8" t="s">
        <v>3</v>
      </c>
      <c r="C8">
        <f>+D4</f>
        <v>0.75077530000000003</v>
      </c>
    </row>
    <row r="10" spans="1:4" ht="13.5" thickBot="1">
      <c r="C10" s="6" t="s">
        <v>21</v>
      </c>
      <c r="D10" s="6" t="s">
        <v>22</v>
      </c>
    </row>
    <row r="11" spans="1:4">
      <c r="A11" t="s">
        <v>16</v>
      </c>
      <c r="C11">
        <f>INTERCEPT(G21:G26,F21:F26)</f>
        <v>-1.2163203362314946E-2</v>
      </c>
      <c r="D11" s="5"/>
    </row>
    <row r="12" spans="1:4">
      <c r="A12" t="s">
        <v>17</v>
      </c>
      <c r="C12">
        <f>SLOPE(G21:G26,F21:F26)</f>
        <v>1.9383816906753294E-6</v>
      </c>
      <c r="D12" s="5"/>
    </row>
    <row r="13" spans="1:4">
      <c r="A13" t="s">
        <v>20</v>
      </c>
      <c r="C13" s="5" t="s">
        <v>14</v>
      </c>
      <c r="D13" s="5"/>
    </row>
    <row r="14" spans="1:4">
      <c r="A14" t="s">
        <v>25</v>
      </c>
    </row>
    <row r="15" spans="1:4">
      <c r="A15" s="4" t="s">
        <v>18</v>
      </c>
      <c r="C15" s="11">
        <f>(C7+C11)+(C8+C12)*INT(MAX(F21:F3533))</f>
        <v>53895.403233048011</v>
      </c>
    </row>
    <row r="16" spans="1:4">
      <c r="A16" s="7" t="s">
        <v>4</v>
      </c>
      <c r="C16" s="12">
        <f>+C8+C12</f>
        <v>0.75077723838169075</v>
      </c>
    </row>
    <row r="17" spans="1:31" ht="13.5" thickBot="1">
      <c r="A17" s="13" t="s">
        <v>39</v>
      </c>
      <c r="C17">
        <f>COUNT(C21:C2191)</f>
        <v>6</v>
      </c>
    </row>
    <row r="18" spans="1:31">
      <c r="A18" s="7" t="s">
        <v>5</v>
      </c>
      <c r="C18" s="21">
        <f>+C15</f>
        <v>53895.403233048011</v>
      </c>
      <c r="D18" s="19">
        <f>+C16</f>
        <v>0.75077723838169075</v>
      </c>
    </row>
    <row r="19" spans="1:31" ht="13.5" thickTop="1"/>
    <row r="20" spans="1:3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35</v>
      </c>
      <c r="J20" s="9" t="s">
        <v>37</v>
      </c>
      <c r="K20" s="9" t="s">
        <v>19</v>
      </c>
      <c r="L20" s="9" t="s">
        <v>27</v>
      </c>
      <c r="M20" s="9" t="s">
        <v>28</v>
      </c>
      <c r="N20" s="9" t="s">
        <v>29</v>
      </c>
      <c r="O20" s="9" t="s">
        <v>24</v>
      </c>
      <c r="P20" s="8" t="s">
        <v>23</v>
      </c>
      <c r="Q20" s="6" t="s">
        <v>15</v>
      </c>
    </row>
    <row r="21" spans="1:31">
      <c r="A21" t="s">
        <v>12</v>
      </c>
      <c r="C21" s="17">
        <v>28774.409</v>
      </c>
      <c r="D21" s="17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si="3">+C$11+C$12*F21</f>
        <v>-1.2163203362314946E-2</v>
      </c>
      <c r="Q21" s="2">
        <f t="shared" ref="Q21:Q26" si="4">+C21-15018.5</f>
        <v>13755.909</v>
      </c>
    </row>
    <row r="22" spans="1:31">
      <c r="A22" t="s">
        <v>36</v>
      </c>
      <c r="C22" s="18">
        <v>49124.812299999998</v>
      </c>
      <c r="D22" s="17">
        <v>1.5E-3</v>
      </c>
      <c r="E22">
        <f t="shared" si="0"/>
        <v>27105.850845119701</v>
      </c>
      <c r="F22">
        <f t="shared" si="1"/>
        <v>27106</v>
      </c>
      <c r="G22">
        <f t="shared" si="2"/>
        <v>-0.1119818000079249</v>
      </c>
      <c r="J22">
        <f>G22</f>
        <v>-0.1119818000079249</v>
      </c>
      <c r="O22">
        <f t="shared" si="3"/>
        <v>4.0378570745130536E-2</v>
      </c>
      <c r="Q22" s="2">
        <f t="shared" si="4"/>
        <v>34106.312299999998</v>
      </c>
      <c r="R22">
        <f>+F22-F21</f>
        <v>27106</v>
      </c>
    </row>
    <row r="23" spans="1:31">
      <c r="A23" t="s">
        <v>31</v>
      </c>
      <c r="C23" s="17">
        <v>49279.355000000003</v>
      </c>
      <c r="D23" s="17">
        <v>2E-3</v>
      </c>
      <c r="E23">
        <f t="shared" si="0"/>
        <v>27311.69499049849</v>
      </c>
      <c r="F23">
        <f t="shared" si="1"/>
        <v>27311.5</v>
      </c>
      <c r="G23">
        <f t="shared" si="2"/>
        <v>0.14639405000343686</v>
      </c>
      <c r="I23">
        <f>G23</f>
        <v>0.14639405000343686</v>
      </c>
      <c r="O23">
        <f t="shared" si="3"/>
        <v>4.0776908182564311E-2</v>
      </c>
      <c r="Q23" s="2">
        <f t="shared" si="4"/>
        <v>34260.855000000003</v>
      </c>
      <c r="R23">
        <f>+F23-F22</f>
        <v>205.5</v>
      </c>
      <c r="AA23">
        <v>8</v>
      </c>
      <c r="AC23" t="s">
        <v>30</v>
      </c>
      <c r="AE23" t="s">
        <v>32</v>
      </c>
    </row>
    <row r="24" spans="1:31">
      <c r="A24" t="s">
        <v>31</v>
      </c>
      <c r="C24" s="17">
        <v>49658.347000000002</v>
      </c>
      <c r="D24" s="17">
        <v>4.0000000000000001E-3</v>
      </c>
      <c r="E24">
        <f t="shared" si="0"/>
        <v>27816.495827713032</v>
      </c>
      <c r="F24">
        <f t="shared" si="1"/>
        <v>27816.5</v>
      </c>
      <c r="G24">
        <f t="shared" si="2"/>
        <v>-3.1324499941547401E-3</v>
      </c>
      <c r="I24">
        <f>G24</f>
        <v>-3.1324499941547401E-3</v>
      </c>
      <c r="O24">
        <f t="shared" si="3"/>
        <v>4.1755790936355355E-2</v>
      </c>
      <c r="Q24" s="2">
        <f t="shared" si="4"/>
        <v>34639.847000000002</v>
      </c>
      <c r="R24">
        <f>+F24-F23</f>
        <v>505</v>
      </c>
      <c r="AA24">
        <v>8</v>
      </c>
      <c r="AC24" t="s">
        <v>30</v>
      </c>
      <c r="AE24" t="s">
        <v>32</v>
      </c>
    </row>
    <row r="25" spans="1:31">
      <c r="A25" t="s">
        <v>34</v>
      </c>
      <c r="C25" s="17">
        <v>50324.366000000002</v>
      </c>
      <c r="D25" s="17">
        <v>2.5000000000000001E-3</v>
      </c>
      <c r="E25">
        <f t="shared" si="0"/>
        <v>28703.60412762647</v>
      </c>
      <c r="F25">
        <f t="shared" si="1"/>
        <v>28703.5</v>
      </c>
      <c r="G25">
        <f t="shared" si="2"/>
        <v>7.817645000613993E-2</v>
      </c>
      <c r="I25">
        <f>G25</f>
        <v>7.817645000613993E-2</v>
      </c>
      <c r="O25">
        <f t="shared" si="3"/>
        <v>4.347513549598437E-2</v>
      </c>
      <c r="Q25" s="2">
        <f t="shared" si="4"/>
        <v>35305.866000000002</v>
      </c>
      <c r="R25">
        <f>+F25-F24</f>
        <v>887</v>
      </c>
      <c r="AA25">
        <v>11</v>
      </c>
      <c r="AC25" t="s">
        <v>33</v>
      </c>
      <c r="AE25" t="s">
        <v>32</v>
      </c>
    </row>
    <row r="26" spans="1:31">
      <c r="A26" s="14" t="s">
        <v>41</v>
      </c>
      <c r="B26" s="15" t="s">
        <v>42</v>
      </c>
      <c r="C26" s="16">
        <v>53895.447999999997</v>
      </c>
      <c r="D26" s="16">
        <v>6.9999999999999999E-4</v>
      </c>
      <c r="E26">
        <f t="shared" si="0"/>
        <v>33460.129815139095</v>
      </c>
      <c r="F26">
        <f t="shared" si="1"/>
        <v>33460</v>
      </c>
      <c r="G26">
        <f t="shared" si="2"/>
        <v>9.7461999997904059E-2</v>
      </c>
      <c r="I26">
        <f>G26</f>
        <v>9.7461999997904059E-2</v>
      </c>
      <c r="O26">
        <f t="shared" si="3"/>
        <v>5.2695048007681579E-2</v>
      </c>
      <c r="Q26" s="2">
        <f t="shared" si="4"/>
        <v>38876.947999999997</v>
      </c>
    </row>
    <row r="27" spans="1:31">
      <c r="C27" s="17"/>
      <c r="D27" s="17"/>
      <c r="Q27" s="2"/>
    </row>
    <row r="28" spans="1:31">
      <c r="C28" s="17"/>
      <c r="D28" s="17"/>
    </row>
    <row r="29" spans="1:31">
      <c r="C29" s="17"/>
      <c r="D29" s="17"/>
    </row>
    <row r="30" spans="1:31">
      <c r="C30" s="17"/>
      <c r="D30" s="17"/>
    </row>
    <row r="31" spans="1:31">
      <c r="C31" s="17"/>
      <c r="D31" s="17"/>
    </row>
    <row r="32" spans="1:31">
      <c r="C32" s="17"/>
      <c r="D32" s="17"/>
    </row>
    <row r="33" spans="3:4">
      <c r="C33" s="17"/>
      <c r="D33" s="17"/>
    </row>
    <row r="34" spans="3:4">
      <c r="C34" s="17"/>
      <c r="D34" s="17"/>
    </row>
    <row r="35" spans="3:4">
      <c r="C35" s="17"/>
      <c r="D35" s="17"/>
    </row>
    <row r="36" spans="3:4">
      <c r="C36" s="17"/>
      <c r="D36" s="17"/>
    </row>
    <row r="37" spans="3:4">
      <c r="C37" s="17"/>
      <c r="D37" s="17"/>
    </row>
    <row r="38" spans="3:4">
      <c r="C38" s="17"/>
      <c r="D38" s="17"/>
    </row>
    <row r="39" spans="3:4">
      <c r="C39" s="17"/>
      <c r="D39" s="17"/>
    </row>
    <row r="40" spans="3:4">
      <c r="C40" s="17"/>
      <c r="D40" s="17"/>
    </row>
    <row r="41" spans="3:4">
      <c r="C41" s="17"/>
      <c r="D41" s="17"/>
    </row>
    <row r="42" spans="3:4">
      <c r="C42" s="17"/>
      <c r="D42" s="17"/>
    </row>
    <row r="43" spans="3:4">
      <c r="C43" s="17"/>
      <c r="D43" s="17"/>
    </row>
    <row r="44" spans="3:4">
      <c r="D44" s="5"/>
    </row>
    <row r="45" spans="3:4">
      <c r="D45" s="5"/>
    </row>
    <row r="46" spans="3:4">
      <c r="D46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4"/>
  <sheetViews>
    <sheetView workbookViewId="0">
      <selection activeCell="A23" sqref="A23:D43"/>
    </sheetView>
  </sheetViews>
  <sheetFormatPr defaultRowHeight="12.75"/>
  <cols>
    <col min="1" max="1" width="19.7109375" style="17" customWidth="1"/>
    <col min="2" max="2" width="4.42578125" style="27" customWidth="1"/>
    <col min="3" max="3" width="12.7109375" style="17" customWidth="1"/>
    <col min="4" max="4" width="5.42578125" style="27" customWidth="1"/>
    <col min="5" max="5" width="14.85546875" style="27" customWidth="1"/>
    <col min="6" max="6" width="9.140625" style="27"/>
    <col min="7" max="7" width="12" style="27" customWidth="1"/>
    <col min="8" max="8" width="14.140625" style="17" customWidth="1"/>
    <col min="9" max="9" width="22.5703125" style="27" customWidth="1"/>
    <col min="10" max="10" width="25.140625" style="27" customWidth="1"/>
    <col min="11" max="11" width="15.7109375" style="27" customWidth="1"/>
    <col min="12" max="12" width="14.140625" style="27" customWidth="1"/>
    <col min="13" max="13" width="9.5703125" style="27" customWidth="1"/>
    <col min="14" max="14" width="14.140625" style="27" customWidth="1"/>
    <col min="15" max="15" width="23.42578125" style="27" customWidth="1"/>
    <col min="16" max="16" width="16.5703125" style="27" customWidth="1"/>
    <col min="17" max="17" width="41" style="27" customWidth="1"/>
    <col min="18" max="16384" width="9.140625" style="27"/>
  </cols>
  <sheetData>
    <row r="1" spans="1:16" ht="15.75">
      <c r="A1" s="48" t="s">
        <v>59</v>
      </c>
      <c r="I1" s="49" t="s">
        <v>60</v>
      </c>
      <c r="J1" s="50" t="s">
        <v>61</v>
      </c>
    </row>
    <row r="2" spans="1:16">
      <c r="I2" s="51" t="s">
        <v>62</v>
      </c>
      <c r="J2" s="52" t="s">
        <v>63</v>
      </c>
    </row>
    <row r="3" spans="1:16">
      <c r="A3" s="53" t="s">
        <v>64</v>
      </c>
      <c r="I3" s="51" t="s">
        <v>65</v>
      </c>
      <c r="J3" s="52" t="s">
        <v>66</v>
      </c>
    </row>
    <row r="4" spans="1:16">
      <c r="I4" s="51" t="s">
        <v>67</v>
      </c>
      <c r="J4" s="52" t="s">
        <v>66</v>
      </c>
    </row>
    <row r="5" spans="1:16" ht="13.5" thickBot="1">
      <c r="I5" s="54" t="s">
        <v>68</v>
      </c>
      <c r="J5" s="55" t="s">
        <v>69</v>
      </c>
    </row>
    <row r="10" spans="1:16" ht="13.5" thickBot="1"/>
    <row r="11" spans="1:16" ht="12.75" customHeight="1" thickBot="1">
      <c r="A11" s="17" t="str">
        <f t="shared" ref="A11:A43" si="0">P11</f>
        <v>IBVS 3903 </v>
      </c>
      <c r="B11" s="5" t="str">
        <f t="shared" ref="B11:B43" si="1">IF(H11=INT(H11),"I","II")</f>
        <v>I</v>
      </c>
      <c r="C11" s="17">
        <f t="shared" ref="C11:C43" si="2">1*G11</f>
        <v>49124.812299999998</v>
      </c>
      <c r="D11" s="27" t="str">
        <f t="shared" ref="D11:D43" si="3">VLOOKUP(F11,I$1:J$5,2,FALSE)</f>
        <v>vis</v>
      </c>
      <c r="E11" s="56">
        <f>VLOOKUP(C11,'Active 1'!C$21:E$972,3,FALSE)</f>
        <v>8262.9815130848128</v>
      </c>
      <c r="F11" s="5" t="s">
        <v>68</v>
      </c>
      <c r="G11" s="27" t="str">
        <f t="shared" ref="G11:G43" si="4">MID(I11,3,LEN(I11)-3)</f>
        <v>49124.8123</v>
      </c>
      <c r="H11" s="17">
        <f t="shared" ref="H11:H43" si="5">1*K11</f>
        <v>8263</v>
      </c>
      <c r="I11" s="57" t="s">
        <v>113</v>
      </c>
      <c r="J11" s="58" t="s">
        <v>114</v>
      </c>
      <c r="K11" s="57">
        <v>8263</v>
      </c>
      <c r="L11" s="57" t="s">
        <v>115</v>
      </c>
      <c r="M11" s="58" t="s">
        <v>116</v>
      </c>
      <c r="N11" s="58" t="s">
        <v>117</v>
      </c>
      <c r="O11" s="59" t="s">
        <v>118</v>
      </c>
      <c r="P11" s="60" t="s">
        <v>119</v>
      </c>
    </row>
    <row r="12" spans="1:16" ht="12.75" customHeight="1" thickBot="1">
      <c r="A12" s="17" t="str">
        <f t="shared" si="0"/>
        <v> BBS 110 </v>
      </c>
      <c r="B12" s="5" t="str">
        <f t="shared" si="1"/>
        <v>I</v>
      </c>
      <c r="C12" s="17">
        <f t="shared" si="2"/>
        <v>49279.355000000003</v>
      </c>
      <c r="D12" s="27" t="str">
        <f t="shared" si="3"/>
        <v>vis</v>
      </c>
      <c r="E12" s="56">
        <f>VLOOKUP(C12,'Active 1'!C$21:E$972,3,FALSE)</f>
        <v>8346.9803190550938</v>
      </c>
      <c r="F12" s="5" t="s">
        <v>68</v>
      </c>
      <c r="G12" s="27" t="str">
        <f t="shared" si="4"/>
        <v>49279.355</v>
      </c>
      <c r="H12" s="17">
        <f t="shared" si="5"/>
        <v>8347</v>
      </c>
      <c r="I12" s="57" t="s">
        <v>126</v>
      </c>
      <c r="J12" s="58" t="s">
        <v>127</v>
      </c>
      <c r="K12" s="57">
        <v>8347</v>
      </c>
      <c r="L12" s="57" t="s">
        <v>128</v>
      </c>
      <c r="M12" s="58" t="s">
        <v>129</v>
      </c>
      <c r="N12" s="58"/>
      <c r="O12" s="59" t="s">
        <v>130</v>
      </c>
      <c r="P12" s="59" t="s">
        <v>131</v>
      </c>
    </row>
    <row r="13" spans="1:16" ht="12.75" customHeight="1" thickBot="1">
      <c r="A13" s="17" t="str">
        <f t="shared" si="0"/>
        <v> BBS 110 </v>
      </c>
      <c r="B13" s="5" t="str">
        <f t="shared" si="1"/>
        <v>I</v>
      </c>
      <c r="C13" s="17">
        <f t="shared" si="2"/>
        <v>49658.347000000002</v>
      </c>
      <c r="D13" s="27" t="str">
        <f t="shared" si="3"/>
        <v>vis</v>
      </c>
      <c r="E13" s="56">
        <f>VLOOKUP(C13,'Active 1'!C$21:E$972,3,FALSE)</f>
        <v>8552.9743612990042</v>
      </c>
      <c r="F13" s="5" t="s">
        <v>68</v>
      </c>
      <c r="G13" s="27" t="str">
        <f t="shared" si="4"/>
        <v>49658.347</v>
      </c>
      <c r="H13" s="17">
        <f t="shared" si="5"/>
        <v>8553</v>
      </c>
      <c r="I13" s="57" t="s">
        <v>132</v>
      </c>
      <c r="J13" s="58" t="s">
        <v>133</v>
      </c>
      <c r="K13" s="57">
        <v>8553</v>
      </c>
      <c r="L13" s="57" t="s">
        <v>134</v>
      </c>
      <c r="M13" s="58" t="s">
        <v>129</v>
      </c>
      <c r="N13" s="58"/>
      <c r="O13" s="59" t="s">
        <v>130</v>
      </c>
      <c r="P13" s="59" t="s">
        <v>131</v>
      </c>
    </row>
    <row r="14" spans="1:16" ht="12.75" customHeight="1" thickBot="1">
      <c r="A14" s="17" t="str">
        <f t="shared" si="0"/>
        <v>IBVS 5745 </v>
      </c>
      <c r="B14" s="5" t="str">
        <f t="shared" si="1"/>
        <v>I</v>
      </c>
      <c r="C14" s="17">
        <f t="shared" si="2"/>
        <v>50664.733500000002</v>
      </c>
      <c r="D14" s="27" t="str">
        <f t="shared" si="3"/>
        <v>vis</v>
      </c>
      <c r="E14" s="56">
        <f>VLOOKUP(C14,'Active 1'!C$21:E$972,3,FALSE)</f>
        <v>9099.9769977522847</v>
      </c>
      <c r="F14" s="5" t="s">
        <v>68</v>
      </c>
      <c r="G14" s="27" t="str">
        <f t="shared" si="4"/>
        <v>50664.7335</v>
      </c>
      <c r="H14" s="17">
        <f t="shared" si="5"/>
        <v>9100</v>
      </c>
      <c r="I14" s="57" t="s">
        <v>139</v>
      </c>
      <c r="J14" s="58" t="s">
        <v>140</v>
      </c>
      <c r="K14" s="57">
        <v>9100</v>
      </c>
      <c r="L14" s="57" t="s">
        <v>141</v>
      </c>
      <c r="M14" s="58" t="s">
        <v>116</v>
      </c>
      <c r="N14" s="58" t="s">
        <v>117</v>
      </c>
      <c r="O14" s="59" t="s">
        <v>142</v>
      </c>
      <c r="P14" s="60" t="s">
        <v>143</v>
      </c>
    </row>
    <row r="15" spans="1:16" ht="12.75" customHeight="1" thickBot="1">
      <c r="A15" s="17" t="str">
        <f t="shared" si="0"/>
        <v>IBVS 5713 </v>
      </c>
      <c r="B15" s="5" t="str">
        <f t="shared" si="1"/>
        <v>I</v>
      </c>
      <c r="C15" s="17">
        <f t="shared" si="2"/>
        <v>53895.447999999997</v>
      </c>
      <c r="D15" s="27" t="str">
        <f t="shared" si="3"/>
        <v>vis</v>
      </c>
      <c r="E15" s="56">
        <f>VLOOKUP(C15,'Active 1'!C$21:E$972,3,FALSE)</f>
        <v>10855.971686798526</v>
      </c>
      <c r="F15" s="5" t="s">
        <v>68</v>
      </c>
      <c r="G15" s="27" t="str">
        <f t="shared" si="4"/>
        <v>53895.4480</v>
      </c>
      <c r="H15" s="17">
        <f t="shared" si="5"/>
        <v>10856</v>
      </c>
      <c r="I15" s="57" t="s">
        <v>153</v>
      </c>
      <c r="J15" s="58" t="s">
        <v>154</v>
      </c>
      <c r="K15" s="57">
        <v>10856</v>
      </c>
      <c r="L15" s="57" t="s">
        <v>155</v>
      </c>
      <c r="M15" s="58" t="s">
        <v>116</v>
      </c>
      <c r="N15" s="58" t="s">
        <v>117</v>
      </c>
      <c r="O15" s="59" t="s">
        <v>118</v>
      </c>
      <c r="P15" s="60" t="s">
        <v>156</v>
      </c>
    </row>
    <row r="16" spans="1:16" ht="12.75" customHeight="1" thickBot="1">
      <c r="A16" s="17" t="str">
        <f t="shared" si="0"/>
        <v>BAVM 214 </v>
      </c>
      <c r="B16" s="5" t="str">
        <f t="shared" si="1"/>
        <v>I</v>
      </c>
      <c r="C16" s="17">
        <f t="shared" si="2"/>
        <v>55126.288399999998</v>
      </c>
      <c r="D16" s="27" t="str">
        <f t="shared" si="3"/>
        <v>vis</v>
      </c>
      <c r="E16" s="56">
        <f>VLOOKUP(C16,'Active 1'!C$21:E$972,3,FALSE)</f>
        <v>11524.972059769754</v>
      </c>
      <c r="F16" s="5" t="s">
        <v>68</v>
      </c>
      <c r="G16" s="27" t="str">
        <f t="shared" si="4"/>
        <v>55126.2884</v>
      </c>
      <c r="H16" s="17">
        <f t="shared" si="5"/>
        <v>11525</v>
      </c>
      <c r="I16" s="57" t="s">
        <v>169</v>
      </c>
      <c r="J16" s="58" t="s">
        <v>170</v>
      </c>
      <c r="K16" s="57" t="s">
        <v>171</v>
      </c>
      <c r="L16" s="57" t="s">
        <v>172</v>
      </c>
      <c r="M16" s="58" t="s">
        <v>160</v>
      </c>
      <c r="N16" s="58" t="s">
        <v>173</v>
      </c>
      <c r="O16" s="59" t="s">
        <v>174</v>
      </c>
      <c r="P16" s="60" t="s">
        <v>175</v>
      </c>
    </row>
    <row r="17" spans="1:16" ht="12.75" customHeight="1" thickBot="1">
      <c r="A17" s="17" t="str">
        <f t="shared" si="0"/>
        <v>BAVM 214 </v>
      </c>
      <c r="B17" s="5" t="str">
        <f t="shared" si="1"/>
        <v>I</v>
      </c>
      <c r="C17" s="17">
        <f t="shared" si="2"/>
        <v>55376.504000000001</v>
      </c>
      <c r="D17" s="27" t="str">
        <f t="shared" si="3"/>
        <v>vis</v>
      </c>
      <c r="E17" s="56">
        <f>VLOOKUP(C17,'Active 1'!C$21:E$972,3,FALSE)</f>
        <v>11660.972088468214</v>
      </c>
      <c r="F17" s="5" t="s">
        <v>68</v>
      </c>
      <c r="G17" s="27" t="str">
        <f t="shared" si="4"/>
        <v>55376.5040</v>
      </c>
      <c r="H17" s="17">
        <f t="shared" si="5"/>
        <v>11661</v>
      </c>
      <c r="I17" s="57" t="s">
        <v>176</v>
      </c>
      <c r="J17" s="58" t="s">
        <v>177</v>
      </c>
      <c r="K17" s="57" t="s">
        <v>178</v>
      </c>
      <c r="L17" s="57" t="s">
        <v>172</v>
      </c>
      <c r="M17" s="58" t="s">
        <v>160</v>
      </c>
      <c r="N17" s="58" t="s">
        <v>166</v>
      </c>
      <c r="O17" s="59" t="s">
        <v>124</v>
      </c>
      <c r="P17" s="60" t="s">
        <v>175</v>
      </c>
    </row>
    <row r="18" spans="1:16" ht="12.75" customHeight="1" thickBot="1">
      <c r="A18" s="17" t="str">
        <f t="shared" si="0"/>
        <v>IBVS 5988 </v>
      </c>
      <c r="B18" s="5" t="str">
        <f t="shared" si="1"/>
        <v>I</v>
      </c>
      <c r="C18" s="17">
        <f t="shared" si="2"/>
        <v>55400.419199999997</v>
      </c>
      <c r="D18" s="27" t="str">
        <f t="shared" si="3"/>
        <v>vis</v>
      </c>
      <c r="E18" s="56">
        <f>VLOOKUP(C18,'Active 1'!C$21:E$972,3,FALSE)</f>
        <v>11673.970749967852</v>
      </c>
      <c r="F18" s="5" t="s">
        <v>68</v>
      </c>
      <c r="G18" s="27" t="str">
        <f t="shared" si="4"/>
        <v>55400.4192</v>
      </c>
      <c r="H18" s="17">
        <f t="shared" si="5"/>
        <v>11674</v>
      </c>
      <c r="I18" s="57" t="s">
        <v>179</v>
      </c>
      <c r="J18" s="58" t="s">
        <v>180</v>
      </c>
      <c r="K18" s="57" t="s">
        <v>181</v>
      </c>
      <c r="L18" s="57" t="s">
        <v>182</v>
      </c>
      <c r="M18" s="58" t="s">
        <v>160</v>
      </c>
      <c r="N18" s="58" t="s">
        <v>183</v>
      </c>
      <c r="O18" s="59" t="s">
        <v>184</v>
      </c>
      <c r="P18" s="60" t="s">
        <v>185</v>
      </c>
    </row>
    <row r="19" spans="1:16" ht="12.75" customHeight="1" thickBot="1">
      <c r="A19" s="17" t="str">
        <f t="shared" si="0"/>
        <v>OEJV 0160 </v>
      </c>
      <c r="B19" s="5" t="str">
        <f t="shared" si="1"/>
        <v>I</v>
      </c>
      <c r="C19" s="17">
        <f t="shared" si="2"/>
        <v>55698.470029999997</v>
      </c>
      <c r="D19" s="27" t="str">
        <f t="shared" si="3"/>
        <v>vis</v>
      </c>
      <c r="E19" s="56">
        <f>VLOOKUP(C19,'Active 1'!C$21:E$972,3,FALSE)</f>
        <v>11835.97072692212</v>
      </c>
      <c r="F19" s="5" t="s">
        <v>68</v>
      </c>
      <c r="G19" s="27" t="str">
        <f t="shared" si="4"/>
        <v>55698.47003</v>
      </c>
      <c r="H19" s="17">
        <f t="shared" si="5"/>
        <v>11836</v>
      </c>
      <c r="I19" s="57" t="s">
        <v>186</v>
      </c>
      <c r="J19" s="58" t="s">
        <v>187</v>
      </c>
      <c r="K19" s="57" t="s">
        <v>188</v>
      </c>
      <c r="L19" s="57" t="s">
        <v>189</v>
      </c>
      <c r="M19" s="58" t="s">
        <v>160</v>
      </c>
      <c r="N19" s="58" t="s">
        <v>190</v>
      </c>
      <c r="O19" s="59" t="s">
        <v>191</v>
      </c>
      <c r="P19" s="60" t="s">
        <v>192</v>
      </c>
    </row>
    <row r="20" spans="1:16" ht="12.75" customHeight="1" thickBot="1">
      <c r="A20" s="17" t="str">
        <f t="shared" si="0"/>
        <v>OEJV 0160 </v>
      </c>
      <c r="B20" s="5" t="str">
        <f t="shared" si="1"/>
        <v>I</v>
      </c>
      <c r="C20" s="17">
        <f t="shared" si="2"/>
        <v>55803.340909999999</v>
      </c>
      <c r="D20" s="27" t="str">
        <f t="shared" si="3"/>
        <v>vis</v>
      </c>
      <c r="E20" s="56">
        <f>VLOOKUP(C20,'Active 1'!C$21:E$972,3,FALSE)</f>
        <v>11892.971340351629</v>
      </c>
      <c r="F20" s="5" t="s">
        <v>68</v>
      </c>
      <c r="G20" s="27" t="str">
        <f t="shared" si="4"/>
        <v>55803.34091</v>
      </c>
      <c r="H20" s="17">
        <f t="shared" si="5"/>
        <v>11893</v>
      </c>
      <c r="I20" s="57" t="s">
        <v>198</v>
      </c>
      <c r="J20" s="58" t="s">
        <v>199</v>
      </c>
      <c r="K20" s="57" t="s">
        <v>200</v>
      </c>
      <c r="L20" s="57" t="s">
        <v>201</v>
      </c>
      <c r="M20" s="58" t="s">
        <v>160</v>
      </c>
      <c r="N20" s="58" t="s">
        <v>190</v>
      </c>
      <c r="O20" s="59" t="s">
        <v>202</v>
      </c>
      <c r="P20" s="60" t="s">
        <v>192</v>
      </c>
    </row>
    <row r="21" spans="1:16" ht="12.75" customHeight="1" thickBot="1">
      <c r="A21" s="17" t="str">
        <f t="shared" si="0"/>
        <v>OEJV 0160 </v>
      </c>
      <c r="B21" s="5" t="str">
        <f t="shared" si="1"/>
        <v>I</v>
      </c>
      <c r="C21" s="17">
        <f t="shared" si="2"/>
        <v>55838.295729999998</v>
      </c>
      <c r="D21" s="27" t="str">
        <f t="shared" si="3"/>
        <v>vis</v>
      </c>
      <c r="E21" s="56">
        <f>VLOOKUP(C21,'Active 1'!C$21:E$972,3,FALSE)</f>
        <v>11911.970381670993</v>
      </c>
      <c r="F21" s="5" t="s">
        <v>68</v>
      </c>
      <c r="G21" s="27" t="str">
        <f t="shared" si="4"/>
        <v>55838.29573</v>
      </c>
      <c r="H21" s="17">
        <f t="shared" si="5"/>
        <v>11912</v>
      </c>
      <c r="I21" s="57" t="s">
        <v>203</v>
      </c>
      <c r="J21" s="58" t="s">
        <v>204</v>
      </c>
      <c r="K21" s="57" t="s">
        <v>205</v>
      </c>
      <c r="L21" s="57" t="s">
        <v>206</v>
      </c>
      <c r="M21" s="58" t="s">
        <v>160</v>
      </c>
      <c r="N21" s="58" t="s">
        <v>190</v>
      </c>
      <c r="O21" s="59" t="s">
        <v>202</v>
      </c>
      <c r="P21" s="60" t="s">
        <v>192</v>
      </c>
    </row>
    <row r="22" spans="1:16" ht="12.75" customHeight="1" thickBot="1">
      <c r="A22" s="17" t="str">
        <f t="shared" si="0"/>
        <v>BAVM 239 </v>
      </c>
      <c r="B22" s="5" t="str">
        <f t="shared" si="1"/>
        <v>I</v>
      </c>
      <c r="C22" s="17">
        <f t="shared" si="2"/>
        <v>56905.389900000002</v>
      </c>
      <c r="D22" s="27" t="str">
        <f t="shared" si="3"/>
        <v>vis</v>
      </c>
      <c r="E22" s="56">
        <f>VLOOKUP(C22,'Active 1'!C$21:E$972,3,FALSE)</f>
        <v>12491.969541371493</v>
      </c>
      <c r="F22" s="5" t="s">
        <v>68</v>
      </c>
      <c r="G22" s="27" t="str">
        <f t="shared" si="4"/>
        <v>56905.3899</v>
      </c>
      <c r="H22" s="17">
        <f t="shared" si="5"/>
        <v>12492</v>
      </c>
      <c r="I22" s="57" t="s">
        <v>207</v>
      </c>
      <c r="J22" s="58" t="s">
        <v>208</v>
      </c>
      <c r="K22" s="57" t="s">
        <v>209</v>
      </c>
      <c r="L22" s="57" t="s">
        <v>210</v>
      </c>
      <c r="M22" s="58" t="s">
        <v>160</v>
      </c>
      <c r="N22" s="58" t="s">
        <v>166</v>
      </c>
      <c r="O22" s="59" t="s">
        <v>124</v>
      </c>
      <c r="P22" s="60" t="s">
        <v>211</v>
      </c>
    </row>
    <row r="23" spans="1:16" ht="12.75" customHeight="1" thickBot="1">
      <c r="A23" s="17" t="str">
        <f t="shared" si="0"/>
        <v> AHSB 6.2.145 </v>
      </c>
      <c r="B23" s="5" t="str">
        <f t="shared" si="1"/>
        <v>I</v>
      </c>
      <c r="C23" s="17">
        <f t="shared" si="2"/>
        <v>32761.49</v>
      </c>
      <c r="D23" s="27" t="str">
        <f t="shared" si="3"/>
        <v>vis</v>
      </c>
      <c r="E23" s="56">
        <f>VLOOKUP(C23,'Active 1'!C$21:E$972,3,FALSE)</f>
        <v>-630.99752899766781</v>
      </c>
      <c r="F23" s="5" t="s">
        <v>68</v>
      </c>
      <c r="G23" s="27" t="str">
        <f t="shared" si="4"/>
        <v>32761.490</v>
      </c>
      <c r="H23" s="17">
        <f t="shared" si="5"/>
        <v>-631</v>
      </c>
      <c r="I23" s="57" t="s">
        <v>72</v>
      </c>
      <c r="J23" s="58" t="s">
        <v>73</v>
      </c>
      <c r="K23" s="57">
        <v>-631</v>
      </c>
      <c r="L23" s="57" t="s">
        <v>74</v>
      </c>
      <c r="M23" s="58" t="s">
        <v>75</v>
      </c>
      <c r="N23" s="58"/>
      <c r="O23" s="59" t="s">
        <v>76</v>
      </c>
      <c r="P23" s="59" t="s">
        <v>77</v>
      </c>
    </row>
    <row r="24" spans="1:16" ht="12.75" customHeight="1" thickBot="1">
      <c r="A24" s="17" t="str">
        <f t="shared" si="0"/>
        <v> AHSB 6.2.145 </v>
      </c>
      <c r="B24" s="5" t="str">
        <f t="shared" si="1"/>
        <v>I</v>
      </c>
      <c r="C24" s="17">
        <f t="shared" si="2"/>
        <v>32763.345000000001</v>
      </c>
      <c r="D24" s="27" t="str">
        <f t="shared" si="3"/>
        <v>vis</v>
      </c>
      <c r="E24" s="56">
        <f>VLOOKUP(C24,'Active 1'!C$21:E$972,3,FALSE)</f>
        <v>-629.98927830012713</v>
      </c>
      <c r="F24" s="5" t="s">
        <v>68</v>
      </c>
      <c r="G24" s="27" t="str">
        <f t="shared" si="4"/>
        <v>32763.345</v>
      </c>
      <c r="H24" s="17">
        <f t="shared" si="5"/>
        <v>-630</v>
      </c>
      <c r="I24" s="57" t="s">
        <v>78</v>
      </c>
      <c r="J24" s="58" t="s">
        <v>79</v>
      </c>
      <c r="K24" s="57">
        <v>-630</v>
      </c>
      <c r="L24" s="57" t="s">
        <v>80</v>
      </c>
      <c r="M24" s="58" t="s">
        <v>75</v>
      </c>
      <c r="N24" s="58"/>
      <c r="O24" s="59" t="s">
        <v>76</v>
      </c>
      <c r="P24" s="59" t="s">
        <v>77</v>
      </c>
    </row>
    <row r="25" spans="1:16" ht="12.75" customHeight="1" thickBot="1">
      <c r="A25" s="17" t="str">
        <f t="shared" si="0"/>
        <v> AHSB 6.2.145 </v>
      </c>
      <c r="B25" s="5" t="str">
        <f t="shared" si="1"/>
        <v>I</v>
      </c>
      <c r="C25" s="17">
        <f t="shared" si="2"/>
        <v>32914.175000000003</v>
      </c>
      <c r="D25" s="27" t="str">
        <f t="shared" si="3"/>
        <v>vis</v>
      </c>
      <c r="E25" s="56">
        <f>VLOOKUP(C25,'Active 1'!C$21:E$972,3,FALSE)</f>
        <v>-548.00844125963704</v>
      </c>
      <c r="F25" s="5" t="s">
        <v>68</v>
      </c>
      <c r="G25" s="27" t="str">
        <f t="shared" si="4"/>
        <v>32914.175</v>
      </c>
      <c r="H25" s="17">
        <f t="shared" si="5"/>
        <v>-548</v>
      </c>
      <c r="I25" s="57" t="s">
        <v>81</v>
      </c>
      <c r="J25" s="58" t="s">
        <v>82</v>
      </c>
      <c r="K25" s="57">
        <v>-548</v>
      </c>
      <c r="L25" s="57" t="s">
        <v>83</v>
      </c>
      <c r="M25" s="58" t="s">
        <v>75</v>
      </c>
      <c r="N25" s="58"/>
      <c r="O25" s="59" t="s">
        <v>76</v>
      </c>
      <c r="P25" s="59" t="s">
        <v>77</v>
      </c>
    </row>
    <row r="26" spans="1:16" ht="12.75" customHeight="1" thickBot="1">
      <c r="A26" s="17" t="str">
        <f t="shared" si="0"/>
        <v> AHSB 6.2.145 </v>
      </c>
      <c r="B26" s="5" t="str">
        <f t="shared" si="1"/>
        <v>I</v>
      </c>
      <c r="C26" s="17">
        <f t="shared" si="2"/>
        <v>33922.411999999997</v>
      </c>
      <c r="D26" s="27" t="str">
        <f t="shared" si="3"/>
        <v>vis</v>
      </c>
      <c r="E26" s="56">
        <f>VLOOKUP(C26,'Active 1'!C$21:E$972,3,FALSE)</f>
        <v>0</v>
      </c>
      <c r="F26" s="5" t="s">
        <v>68</v>
      </c>
      <c r="G26" s="27" t="str">
        <f t="shared" si="4"/>
        <v>33922.412</v>
      </c>
      <c r="H26" s="17">
        <f t="shared" si="5"/>
        <v>0</v>
      </c>
      <c r="I26" s="57" t="s">
        <v>84</v>
      </c>
      <c r="J26" s="58" t="s">
        <v>85</v>
      </c>
      <c r="K26" s="57">
        <v>0</v>
      </c>
      <c r="L26" s="57" t="s">
        <v>86</v>
      </c>
      <c r="M26" s="58" t="s">
        <v>75</v>
      </c>
      <c r="N26" s="58"/>
      <c r="O26" s="59" t="s">
        <v>76</v>
      </c>
      <c r="P26" s="59" t="s">
        <v>77</v>
      </c>
    </row>
    <row r="27" spans="1:16" ht="12.75" customHeight="1" thickBot="1">
      <c r="A27" s="17" t="str">
        <f t="shared" si="0"/>
        <v> AHSB 6.2.145 </v>
      </c>
      <c r="B27" s="5" t="str">
        <f t="shared" si="1"/>
        <v>I</v>
      </c>
      <c r="C27" s="17">
        <f t="shared" si="2"/>
        <v>33946.33</v>
      </c>
      <c r="D27" s="27" t="str">
        <f t="shared" si="3"/>
        <v>vis</v>
      </c>
      <c r="E27" s="56">
        <f>VLOOKUP(C27,'Active 1'!C$21:E$972,3,FALSE)</f>
        <v>13.000183387488148</v>
      </c>
      <c r="F27" s="5" t="s">
        <v>68</v>
      </c>
      <c r="G27" s="27" t="str">
        <f t="shared" si="4"/>
        <v>33946.330</v>
      </c>
      <c r="H27" s="17">
        <f t="shared" si="5"/>
        <v>13</v>
      </c>
      <c r="I27" s="57" t="s">
        <v>87</v>
      </c>
      <c r="J27" s="58" t="s">
        <v>88</v>
      </c>
      <c r="K27" s="57">
        <v>13</v>
      </c>
      <c r="L27" s="57" t="s">
        <v>86</v>
      </c>
      <c r="M27" s="58" t="s">
        <v>75</v>
      </c>
      <c r="N27" s="58"/>
      <c r="O27" s="59" t="s">
        <v>76</v>
      </c>
      <c r="P27" s="59" t="s">
        <v>77</v>
      </c>
    </row>
    <row r="28" spans="1:16" ht="12.75" customHeight="1" thickBot="1">
      <c r="A28" s="17" t="str">
        <f t="shared" si="0"/>
        <v> AHSB 6.2.145 </v>
      </c>
      <c r="B28" s="5" t="str">
        <f t="shared" si="1"/>
        <v>I</v>
      </c>
      <c r="C28" s="17">
        <f t="shared" si="2"/>
        <v>34150.548000000003</v>
      </c>
      <c r="D28" s="27" t="str">
        <f t="shared" si="3"/>
        <v>vis</v>
      </c>
      <c r="E28" s="56">
        <f>VLOOKUP(C28,'Active 1'!C$21:E$972,3,FALSE)</f>
        <v>123.99907338771794</v>
      </c>
      <c r="F28" s="5" t="s">
        <v>68</v>
      </c>
      <c r="G28" s="27" t="str">
        <f t="shared" si="4"/>
        <v>34150.548</v>
      </c>
      <c r="H28" s="17">
        <f t="shared" si="5"/>
        <v>124</v>
      </c>
      <c r="I28" s="57" t="s">
        <v>89</v>
      </c>
      <c r="J28" s="58" t="s">
        <v>90</v>
      </c>
      <c r="K28" s="57">
        <v>124</v>
      </c>
      <c r="L28" s="57" t="s">
        <v>91</v>
      </c>
      <c r="M28" s="58" t="s">
        <v>75</v>
      </c>
      <c r="N28" s="58"/>
      <c r="O28" s="59" t="s">
        <v>76</v>
      </c>
      <c r="P28" s="59" t="s">
        <v>77</v>
      </c>
    </row>
    <row r="29" spans="1:16" ht="12.75" customHeight="1" thickBot="1">
      <c r="A29" s="17" t="str">
        <f t="shared" si="0"/>
        <v> AHSB 6.2.145 </v>
      </c>
      <c r="B29" s="5" t="str">
        <f t="shared" si="1"/>
        <v>I</v>
      </c>
      <c r="C29" s="17">
        <f t="shared" si="2"/>
        <v>34634.404999999999</v>
      </c>
      <c r="D29" s="27" t="str">
        <f t="shared" si="3"/>
        <v>vis</v>
      </c>
      <c r="E29" s="56">
        <f>VLOOKUP(C29,'Active 1'!C$21:E$972,3,FALSE)</f>
        <v>386.99053309665925</v>
      </c>
      <c r="F29" s="5" t="s">
        <v>68</v>
      </c>
      <c r="G29" s="27" t="str">
        <f t="shared" si="4"/>
        <v>34634.405</v>
      </c>
      <c r="H29" s="17">
        <f t="shared" si="5"/>
        <v>387</v>
      </c>
      <c r="I29" s="57" t="s">
        <v>92</v>
      </c>
      <c r="J29" s="58" t="s">
        <v>93</v>
      </c>
      <c r="K29" s="57">
        <v>387</v>
      </c>
      <c r="L29" s="57" t="s">
        <v>94</v>
      </c>
      <c r="M29" s="58" t="s">
        <v>75</v>
      </c>
      <c r="N29" s="58"/>
      <c r="O29" s="59" t="s">
        <v>76</v>
      </c>
      <c r="P29" s="59" t="s">
        <v>77</v>
      </c>
    </row>
    <row r="30" spans="1:16" ht="12.75" customHeight="1" thickBot="1">
      <c r="A30" s="17" t="str">
        <f t="shared" si="0"/>
        <v> AHSB 6.2.145 </v>
      </c>
      <c r="B30" s="5" t="str">
        <f t="shared" si="1"/>
        <v>I</v>
      </c>
      <c r="C30" s="17">
        <f t="shared" si="2"/>
        <v>34636.26</v>
      </c>
      <c r="D30" s="27" t="str">
        <f t="shared" si="3"/>
        <v>vis</v>
      </c>
      <c r="E30" s="56">
        <f>VLOOKUP(C30,'Active 1'!C$21:E$972,3,FALSE)</f>
        <v>387.99878379420198</v>
      </c>
      <c r="F30" s="5" t="s">
        <v>68</v>
      </c>
      <c r="G30" s="27" t="str">
        <f t="shared" si="4"/>
        <v>34636.260</v>
      </c>
      <c r="H30" s="17">
        <f t="shared" si="5"/>
        <v>388</v>
      </c>
      <c r="I30" s="57" t="s">
        <v>95</v>
      </c>
      <c r="J30" s="58" t="s">
        <v>96</v>
      </c>
      <c r="K30" s="57">
        <v>388</v>
      </c>
      <c r="L30" s="57" t="s">
        <v>91</v>
      </c>
      <c r="M30" s="58" t="s">
        <v>75</v>
      </c>
      <c r="N30" s="58"/>
      <c r="O30" s="59" t="s">
        <v>76</v>
      </c>
      <c r="P30" s="59" t="s">
        <v>77</v>
      </c>
    </row>
    <row r="31" spans="1:16" ht="12.75" customHeight="1" thickBot="1">
      <c r="A31" s="17" t="str">
        <f t="shared" si="0"/>
        <v> AHSB 6.2.145 </v>
      </c>
      <c r="B31" s="5" t="str">
        <f t="shared" si="1"/>
        <v>I</v>
      </c>
      <c r="C31" s="17">
        <f t="shared" si="2"/>
        <v>34706.165000000001</v>
      </c>
      <c r="D31" s="27" t="str">
        <f t="shared" si="3"/>
        <v>vis</v>
      </c>
      <c r="E31" s="56">
        <f>VLOOKUP(C31,'Active 1'!C$21:E$972,3,FALSE)</f>
        <v>425.99434444735647</v>
      </c>
      <c r="F31" s="5" t="s">
        <v>68</v>
      </c>
      <c r="G31" s="27" t="str">
        <f t="shared" si="4"/>
        <v>34706.165</v>
      </c>
      <c r="H31" s="17">
        <f t="shared" si="5"/>
        <v>426</v>
      </c>
      <c r="I31" s="57" t="s">
        <v>97</v>
      </c>
      <c r="J31" s="58" t="s">
        <v>98</v>
      </c>
      <c r="K31" s="57">
        <v>426</v>
      </c>
      <c r="L31" s="57" t="s">
        <v>99</v>
      </c>
      <c r="M31" s="58" t="s">
        <v>75</v>
      </c>
      <c r="N31" s="58"/>
      <c r="O31" s="59" t="s">
        <v>76</v>
      </c>
      <c r="P31" s="59" t="s">
        <v>77</v>
      </c>
    </row>
    <row r="32" spans="1:16" ht="12.75" customHeight="1" thickBot="1">
      <c r="A32" s="17" t="str">
        <f t="shared" si="0"/>
        <v> AHSB 6.2.145 </v>
      </c>
      <c r="B32" s="5" t="str">
        <f t="shared" si="1"/>
        <v>I</v>
      </c>
      <c r="C32" s="17">
        <f t="shared" si="2"/>
        <v>35195.565000000002</v>
      </c>
      <c r="D32" s="27" t="str">
        <f t="shared" si="3"/>
        <v>vis</v>
      </c>
      <c r="E32" s="56">
        <f>VLOOKUP(C32,'Active 1'!C$21:E$972,3,FALSE)</f>
        <v>691.99859855871011</v>
      </c>
      <c r="F32" s="5" t="s">
        <v>68</v>
      </c>
      <c r="G32" s="27" t="str">
        <f t="shared" si="4"/>
        <v>35195.565</v>
      </c>
      <c r="H32" s="17">
        <f t="shared" si="5"/>
        <v>692</v>
      </c>
      <c r="I32" s="57" t="s">
        <v>100</v>
      </c>
      <c r="J32" s="58" t="s">
        <v>101</v>
      </c>
      <c r="K32" s="57">
        <v>692</v>
      </c>
      <c r="L32" s="57" t="s">
        <v>70</v>
      </c>
      <c r="M32" s="58" t="s">
        <v>75</v>
      </c>
      <c r="N32" s="58"/>
      <c r="O32" s="59" t="s">
        <v>76</v>
      </c>
      <c r="P32" s="59" t="s">
        <v>77</v>
      </c>
    </row>
    <row r="33" spans="1:16" ht="12.75" customHeight="1" thickBot="1">
      <c r="A33" s="17" t="str">
        <f t="shared" si="0"/>
        <v> AHSB 6.2.145 </v>
      </c>
      <c r="B33" s="5" t="str">
        <f t="shared" si="1"/>
        <v>I</v>
      </c>
      <c r="C33" s="17">
        <f t="shared" si="2"/>
        <v>35368.495000000003</v>
      </c>
      <c r="D33" s="27" t="str">
        <f t="shared" si="3"/>
        <v>vis</v>
      </c>
      <c r="E33" s="56">
        <f>VLOOKUP(C33,'Active 1'!C$21:E$972,3,FALSE)</f>
        <v>785.99147894995724</v>
      </c>
      <c r="F33" s="5" t="s">
        <v>68</v>
      </c>
      <c r="G33" s="27" t="str">
        <f t="shared" si="4"/>
        <v>35368.495</v>
      </c>
      <c r="H33" s="17">
        <f t="shared" si="5"/>
        <v>786</v>
      </c>
      <c r="I33" s="57" t="s">
        <v>102</v>
      </c>
      <c r="J33" s="58" t="s">
        <v>103</v>
      </c>
      <c r="K33" s="57">
        <v>786</v>
      </c>
      <c r="L33" s="57" t="s">
        <v>83</v>
      </c>
      <c r="M33" s="58" t="s">
        <v>75</v>
      </c>
      <c r="N33" s="58"/>
      <c r="O33" s="59" t="s">
        <v>76</v>
      </c>
      <c r="P33" s="59" t="s">
        <v>77</v>
      </c>
    </row>
    <row r="34" spans="1:16" ht="12.75" customHeight="1" thickBot="1">
      <c r="A34" s="17" t="str">
        <f t="shared" si="0"/>
        <v> AHSB 6.2.145 </v>
      </c>
      <c r="B34" s="5" t="str">
        <f t="shared" si="1"/>
        <v>I</v>
      </c>
      <c r="C34" s="17">
        <f t="shared" si="2"/>
        <v>35370.362000000001</v>
      </c>
      <c r="D34" s="27" t="str">
        <f t="shared" si="3"/>
        <v>vis</v>
      </c>
      <c r="E34" s="56">
        <f>VLOOKUP(C34,'Active 1'!C$21:E$972,3,FALSE)</f>
        <v>787.00625202397737</v>
      </c>
      <c r="F34" s="5" t="s">
        <v>68</v>
      </c>
      <c r="G34" s="27" t="str">
        <f t="shared" si="4"/>
        <v>35370.362</v>
      </c>
      <c r="H34" s="17">
        <f t="shared" si="5"/>
        <v>787</v>
      </c>
      <c r="I34" s="57" t="s">
        <v>104</v>
      </c>
      <c r="J34" s="58" t="s">
        <v>105</v>
      </c>
      <c r="K34" s="57">
        <v>787</v>
      </c>
      <c r="L34" s="57" t="s">
        <v>106</v>
      </c>
      <c r="M34" s="58" t="s">
        <v>75</v>
      </c>
      <c r="N34" s="58"/>
      <c r="O34" s="59" t="s">
        <v>76</v>
      </c>
      <c r="P34" s="59" t="s">
        <v>77</v>
      </c>
    </row>
    <row r="35" spans="1:16" ht="12.75" customHeight="1" thickBot="1">
      <c r="A35" s="17" t="str">
        <f t="shared" si="0"/>
        <v> AHSB 6.2.145 </v>
      </c>
      <c r="B35" s="5" t="str">
        <f t="shared" si="1"/>
        <v>I</v>
      </c>
      <c r="C35" s="17">
        <f t="shared" si="2"/>
        <v>35453.152999999998</v>
      </c>
      <c r="D35" s="27" t="str">
        <f t="shared" si="3"/>
        <v>vis</v>
      </c>
      <c r="E35" s="56">
        <f>VLOOKUP(C35,'Active 1'!C$21:E$972,3,FALSE)</f>
        <v>832.00575795395764</v>
      </c>
      <c r="F35" s="5" t="s">
        <v>68</v>
      </c>
      <c r="G35" s="27" t="str">
        <f t="shared" si="4"/>
        <v>35453.153</v>
      </c>
      <c r="H35" s="17">
        <f t="shared" si="5"/>
        <v>832</v>
      </c>
      <c r="I35" s="57" t="s">
        <v>107</v>
      </c>
      <c r="J35" s="58" t="s">
        <v>108</v>
      </c>
      <c r="K35" s="57">
        <v>832</v>
      </c>
      <c r="L35" s="57" t="s">
        <v>109</v>
      </c>
      <c r="M35" s="58" t="s">
        <v>75</v>
      </c>
      <c r="N35" s="58"/>
      <c r="O35" s="59" t="s">
        <v>76</v>
      </c>
      <c r="P35" s="59" t="s">
        <v>77</v>
      </c>
    </row>
    <row r="36" spans="1:16" ht="12.75" customHeight="1" thickBot="1">
      <c r="A36" s="17" t="str">
        <f t="shared" si="0"/>
        <v> AHSB 6.2.145 </v>
      </c>
      <c r="B36" s="5" t="str">
        <f t="shared" si="1"/>
        <v>I</v>
      </c>
      <c r="C36" s="17">
        <f t="shared" si="2"/>
        <v>36816.449000000001</v>
      </c>
      <c r="D36" s="27" t="str">
        <f t="shared" si="3"/>
        <v>vis</v>
      </c>
      <c r="E36" s="56">
        <f>VLOOKUP(C36,'Active 1'!C$21:E$972,3,FALSE)</f>
        <v>1572.9999050994245</v>
      </c>
      <c r="F36" s="5" t="s">
        <v>68</v>
      </c>
      <c r="G36" s="27" t="str">
        <f t="shared" si="4"/>
        <v>36816.449</v>
      </c>
      <c r="H36" s="17">
        <f t="shared" si="5"/>
        <v>1573</v>
      </c>
      <c r="I36" s="57" t="s">
        <v>110</v>
      </c>
      <c r="J36" s="58" t="s">
        <v>111</v>
      </c>
      <c r="K36" s="57">
        <v>1573</v>
      </c>
      <c r="L36" s="57" t="s">
        <v>112</v>
      </c>
      <c r="M36" s="58" t="s">
        <v>71</v>
      </c>
      <c r="N36" s="58"/>
      <c r="O36" s="59" t="s">
        <v>76</v>
      </c>
      <c r="P36" s="59" t="s">
        <v>77</v>
      </c>
    </row>
    <row r="37" spans="1:16" ht="12.75" customHeight="1" thickBot="1">
      <c r="A37" s="17" t="str">
        <f t="shared" si="0"/>
        <v>BAVM 68 </v>
      </c>
      <c r="B37" s="5" t="str">
        <f t="shared" si="1"/>
        <v>I</v>
      </c>
      <c r="C37" s="17">
        <f t="shared" si="2"/>
        <v>49198.405299999999</v>
      </c>
      <c r="D37" s="27" t="str">
        <f t="shared" si="3"/>
        <v>vis</v>
      </c>
      <c r="E37" s="56">
        <f>VLOOKUP(C37,'Active 1'!C$21:E$972,3,FALSE)</f>
        <v>8302.9816174428361</v>
      </c>
      <c r="F37" s="5" t="s">
        <v>68</v>
      </c>
      <c r="G37" s="27" t="str">
        <f t="shared" si="4"/>
        <v>49198.4053</v>
      </c>
      <c r="H37" s="17">
        <f t="shared" si="5"/>
        <v>8303</v>
      </c>
      <c r="I37" s="57" t="s">
        <v>120</v>
      </c>
      <c r="J37" s="58" t="s">
        <v>121</v>
      </c>
      <c r="K37" s="57">
        <v>8303</v>
      </c>
      <c r="L37" s="57" t="s">
        <v>122</v>
      </c>
      <c r="M37" s="58" t="s">
        <v>116</v>
      </c>
      <c r="N37" s="58" t="s">
        <v>123</v>
      </c>
      <c r="O37" s="59" t="s">
        <v>124</v>
      </c>
      <c r="P37" s="60" t="s">
        <v>125</v>
      </c>
    </row>
    <row r="38" spans="1:16" ht="12.75" customHeight="1" thickBot="1">
      <c r="A38" s="17" t="str">
        <f t="shared" si="0"/>
        <v> BBS 113 </v>
      </c>
      <c r="B38" s="5" t="str">
        <f t="shared" si="1"/>
        <v>I</v>
      </c>
      <c r="C38" s="17">
        <f t="shared" si="2"/>
        <v>50324.366600000001</v>
      </c>
      <c r="D38" s="27" t="str">
        <f t="shared" si="3"/>
        <v>vis</v>
      </c>
      <c r="E38" s="56">
        <f>VLOOKUP(C38,'Active 1'!C$21:E$972,3,FALSE)</f>
        <v>8914.9769091566686</v>
      </c>
      <c r="F38" s="5" t="s">
        <v>68</v>
      </c>
      <c r="G38" s="27" t="str">
        <f t="shared" si="4"/>
        <v>50324.3666</v>
      </c>
      <c r="H38" s="17">
        <f t="shared" si="5"/>
        <v>8915</v>
      </c>
      <c r="I38" s="57" t="s">
        <v>135</v>
      </c>
      <c r="J38" s="58" t="s">
        <v>136</v>
      </c>
      <c r="K38" s="57">
        <v>8915</v>
      </c>
      <c r="L38" s="57" t="s">
        <v>137</v>
      </c>
      <c r="M38" s="58" t="s">
        <v>116</v>
      </c>
      <c r="N38" s="58" t="s">
        <v>117</v>
      </c>
      <c r="O38" s="59" t="s">
        <v>118</v>
      </c>
      <c r="P38" s="59" t="s">
        <v>138</v>
      </c>
    </row>
    <row r="39" spans="1:16" ht="12.75" customHeight="1" thickBot="1">
      <c r="A39" s="17" t="str">
        <f t="shared" si="0"/>
        <v> BBS 123 </v>
      </c>
      <c r="B39" s="5" t="str">
        <f t="shared" si="1"/>
        <v>I</v>
      </c>
      <c r="C39" s="17">
        <f t="shared" si="2"/>
        <v>51713.427000000003</v>
      </c>
      <c r="D39" s="27" t="str">
        <f t="shared" si="3"/>
        <v>vis</v>
      </c>
      <c r="E39" s="56">
        <f>VLOOKUP(C39,'Active 1'!C$21:E$972,3,FALSE)</f>
        <v>9669.9748160173513</v>
      </c>
      <c r="F39" s="5" t="s">
        <v>68</v>
      </c>
      <c r="G39" s="27" t="str">
        <f t="shared" si="4"/>
        <v>51713.4270</v>
      </c>
      <c r="H39" s="17">
        <f t="shared" si="5"/>
        <v>9670</v>
      </c>
      <c r="I39" s="57" t="s">
        <v>144</v>
      </c>
      <c r="J39" s="58" t="s">
        <v>145</v>
      </c>
      <c r="K39" s="57">
        <v>9670</v>
      </c>
      <c r="L39" s="57" t="s">
        <v>146</v>
      </c>
      <c r="M39" s="58" t="s">
        <v>116</v>
      </c>
      <c r="N39" s="58" t="s">
        <v>117</v>
      </c>
      <c r="O39" s="59" t="s">
        <v>118</v>
      </c>
      <c r="P39" s="59" t="s">
        <v>147</v>
      </c>
    </row>
    <row r="40" spans="1:16" ht="12.75" customHeight="1" thickBot="1">
      <c r="A40" s="17" t="str">
        <f t="shared" si="0"/>
        <v>IBVS 5741 </v>
      </c>
      <c r="B40" s="5" t="str">
        <f t="shared" si="1"/>
        <v>I</v>
      </c>
      <c r="C40" s="17">
        <f t="shared" si="2"/>
        <v>53229.4398</v>
      </c>
      <c r="D40" s="27" t="str">
        <f t="shared" si="3"/>
        <v>vis</v>
      </c>
      <c r="E40" s="56" t="e">
        <f>VLOOKUP(C40,'Active 1'!C$21:E$972,3,FALSE)</f>
        <v>#N/A</v>
      </c>
      <c r="F40" s="5" t="s">
        <v>68</v>
      </c>
      <c r="G40" s="27" t="str">
        <f t="shared" si="4"/>
        <v>53229.4398</v>
      </c>
      <c r="H40" s="17">
        <f t="shared" si="5"/>
        <v>10494</v>
      </c>
      <c r="I40" s="57" t="s">
        <v>148</v>
      </c>
      <c r="J40" s="58" t="s">
        <v>149</v>
      </c>
      <c r="K40" s="57">
        <v>10494</v>
      </c>
      <c r="L40" s="57" t="s">
        <v>150</v>
      </c>
      <c r="M40" s="58" t="s">
        <v>116</v>
      </c>
      <c r="N40" s="58" t="s">
        <v>117</v>
      </c>
      <c r="O40" s="59" t="s">
        <v>151</v>
      </c>
      <c r="P40" s="60" t="s">
        <v>152</v>
      </c>
    </row>
    <row r="41" spans="1:16" ht="12.75" customHeight="1" thickBot="1">
      <c r="A41" s="17" t="str">
        <f t="shared" si="0"/>
        <v>VSB 46 </v>
      </c>
      <c r="B41" s="5" t="str">
        <f t="shared" si="1"/>
        <v>I</v>
      </c>
      <c r="C41" s="17">
        <f t="shared" si="2"/>
        <v>54324.125699999997</v>
      </c>
      <c r="D41" s="27" t="str">
        <f t="shared" si="3"/>
        <v>vis</v>
      </c>
      <c r="E41" s="56">
        <f>VLOOKUP(C41,'Active 1'!C$21:E$972,3,FALSE)</f>
        <v>11088.97146579867</v>
      </c>
      <c r="F41" s="5" t="s">
        <v>68</v>
      </c>
      <c r="G41" s="27" t="str">
        <f t="shared" si="4"/>
        <v>54324.1257</v>
      </c>
      <c r="H41" s="17">
        <f t="shared" si="5"/>
        <v>11089</v>
      </c>
      <c r="I41" s="57" t="s">
        <v>157</v>
      </c>
      <c r="J41" s="58" t="s">
        <v>158</v>
      </c>
      <c r="K41" s="57">
        <v>11089</v>
      </c>
      <c r="L41" s="57" t="s">
        <v>159</v>
      </c>
      <c r="M41" s="58" t="s">
        <v>160</v>
      </c>
      <c r="N41" s="58" t="s">
        <v>68</v>
      </c>
      <c r="O41" s="59" t="s">
        <v>161</v>
      </c>
      <c r="P41" s="60" t="s">
        <v>162</v>
      </c>
    </row>
    <row r="42" spans="1:16" ht="12.75" customHeight="1" thickBot="1">
      <c r="A42" s="17" t="str">
        <f t="shared" si="0"/>
        <v>BAVM 193 </v>
      </c>
      <c r="B42" s="5" t="str">
        <f t="shared" si="1"/>
        <v>I</v>
      </c>
      <c r="C42" s="17">
        <f t="shared" si="2"/>
        <v>54366.448600000003</v>
      </c>
      <c r="D42" s="27" t="str">
        <f t="shared" si="3"/>
        <v>vis</v>
      </c>
      <c r="E42" s="56">
        <f>VLOOKUP(C42,'Active 1'!C$21:E$972,3,FALSE)</f>
        <v>11111.975289759297</v>
      </c>
      <c r="F42" s="5" t="s">
        <v>68</v>
      </c>
      <c r="G42" s="27" t="str">
        <f t="shared" si="4"/>
        <v>54366.4486</v>
      </c>
      <c r="H42" s="17">
        <f t="shared" si="5"/>
        <v>11112</v>
      </c>
      <c r="I42" s="57" t="s">
        <v>163</v>
      </c>
      <c r="J42" s="58" t="s">
        <v>164</v>
      </c>
      <c r="K42" s="57">
        <v>11112</v>
      </c>
      <c r="L42" s="57" t="s">
        <v>165</v>
      </c>
      <c r="M42" s="58" t="s">
        <v>160</v>
      </c>
      <c r="N42" s="58" t="s">
        <v>166</v>
      </c>
      <c r="O42" s="59" t="s">
        <v>167</v>
      </c>
      <c r="P42" s="60" t="s">
        <v>168</v>
      </c>
    </row>
    <row r="43" spans="1:16" ht="12.75" customHeight="1" thickBot="1">
      <c r="A43" s="17" t="str">
        <f t="shared" si="0"/>
        <v>BAVM 225 </v>
      </c>
      <c r="B43" s="5" t="str">
        <f t="shared" si="1"/>
        <v>I</v>
      </c>
      <c r="C43" s="17">
        <f t="shared" si="2"/>
        <v>55801.5003</v>
      </c>
      <c r="D43" s="27" t="str">
        <f t="shared" si="3"/>
        <v>vis</v>
      </c>
      <c r="E43" s="56">
        <f>VLOOKUP(C43,'Active 1'!C$21:E$972,3,FALSE)</f>
        <v>11891.970911070552</v>
      </c>
      <c r="F43" s="5" t="s">
        <v>68</v>
      </c>
      <c r="G43" s="27" t="str">
        <f t="shared" si="4"/>
        <v>55801.5003</v>
      </c>
      <c r="H43" s="17">
        <f t="shared" si="5"/>
        <v>11892</v>
      </c>
      <c r="I43" s="57" t="s">
        <v>193</v>
      </c>
      <c r="J43" s="58" t="s">
        <v>194</v>
      </c>
      <c r="K43" s="57" t="s">
        <v>195</v>
      </c>
      <c r="L43" s="57" t="s">
        <v>196</v>
      </c>
      <c r="M43" s="58" t="s">
        <v>160</v>
      </c>
      <c r="N43" s="58" t="s">
        <v>166</v>
      </c>
      <c r="O43" s="59" t="s">
        <v>124</v>
      </c>
      <c r="P43" s="60" t="s">
        <v>197</v>
      </c>
    </row>
    <row r="44" spans="1:16">
      <c r="B44" s="5"/>
      <c r="E44" s="56"/>
      <c r="F44" s="5"/>
    </row>
    <row r="45" spans="1:16">
      <c r="B45" s="5"/>
      <c r="E45" s="56"/>
      <c r="F45" s="5"/>
    </row>
    <row r="46" spans="1:16">
      <c r="B46" s="5"/>
      <c r="E46" s="56"/>
      <c r="F46" s="5"/>
    </row>
    <row r="47" spans="1:16">
      <c r="B47" s="5"/>
      <c r="F47" s="5"/>
    </row>
    <row r="48" spans="1:1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</sheetData>
  <phoneticPr fontId="8" type="noConversion"/>
  <hyperlinks>
    <hyperlink ref="P11" r:id="rId1" display="http://www.konkoly.hu/cgi-bin/IBVS?3903"/>
    <hyperlink ref="P37" r:id="rId2" display="http://www.bav-astro.de/sfs/BAVM_link.php?BAVMnr=68"/>
    <hyperlink ref="P14" r:id="rId3" display="http://www.konkoly.hu/cgi-bin/IBVS?5745"/>
    <hyperlink ref="P40" r:id="rId4" display="http://www.konkoly.hu/cgi-bin/IBVS?5741"/>
    <hyperlink ref="P15" r:id="rId5" display="http://www.konkoly.hu/cgi-bin/IBVS?5713"/>
    <hyperlink ref="P41" r:id="rId6" display="http://vsolj.cetus-net.org/no46.pdf"/>
    <hyperlink ref="P42" r:id="rId7" display="http://www.bav-astro.de/sfs/BAVM_link.php?BAVMnr=193"/>
    <hyperlink ref="P16" r:id="rId8" display="http://www.bav-astro.de/sfs/BAVM_link.php?BAVMnr=214"/>
    <hyperlink ref="P17" r:id="rId9" display="http://www.bav-astro.de/sfs/BAVM_link.php?BAVMnr=214"/>
    <hyperlink ref="P18" r:id="rId10" display="http://www.konkoly.hu/cgi-bin/IBVS?5988"/>
    <hyperlink ref="P19" r:id="rId11" display="http://var.astro.cz/oejv/issues/oejv0160.pdf"/>
    <hyperlink ref="P43" r:id="rId12" display="http://www.bav-astro.de/sfs/BAVM_link.php?BAVMnr=225"/>
    <hyperlink ref="P20" r:id="rId13" display="http://var.astro.cz/oejv/issues/oejv0160.pdf"/>
    <hyperlink ref="P21" r:id="rId14" display="http://var.astro.cz/oejv/issues/oejv0160.pdf"/>
    <hyperlink ref="P22" r:id="rId15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2024-02-02T04:29:44Z</dcterms:modified>
</cp:coreProperties>
</file>