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E003A29-2D8C-411D-ABA0-3273BD4305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1" i="1" l="1"/>
  <c r="Q69" i="1"/>
  <c r="Q64" i="1"/>
  <c r="Q63" i="1"/>
  <c r="D9" i="1"/>
  <c r="C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8" i="1"/>
  <c r="Q58" i="1"/>
  <c r="Q62" i="1"/>
  <c r="Q70" i="1"/>
  <c r="G36" i="2"/>
  <c r="C36" i="2"/>
  <c r="G35" i="2"/>
  <c r="C35" i="2"/>
  <c r="G34" i="2"/>
  <c r="C34" i="2"/>
  <c r="G58" i="2"/>
  <c r="C58" i="2"/>
  <c r="G33" i="2"/>
  <c r="C33" i="2"/>
  <c r="G32" i="2"/>
  <c r="C32" i="2"/>
  <c r="G31" i="2"/>
  <c r="C31" i="2"/>
  <c r="G30" i="2"/>
  <c r="C30" i="2"/>
  <c r="G57" i="2"/>
  <c r="C57" i="2"/>
  <c r="G29" i="2"/>
  <c r="C29" i="2"/>
  <c r="E29" i="2"/>
  <c r="G28" i="2"/>
  <c r="C28" i="2"/>
  <c r="G27" i="2"/>
  <c r="C27" i="2"/>
  <c r="G56" i="2"/>
  <c r="C56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55" i="2"/>
  <c r="C55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36" i="2"/>
  <c r="D36" i="2"/>
  <c r="B36" i="2"/>
  <c r="A36" i="2"/>
  <c r="H35" i="2"/>
  <c r="B35" i="2"/>
  <c r="D35" i="2"/>
  <c r="A35" i="2"/>
  <c r="H34" i="2"/>
  <c r="D34" i="2"/>
  <c r="B34" i="2"/>
  <c r="A34" i="2"/>
  <c r="H58" i="2"/>
  <c r="B58" i="2"/>
  <c r="D58" i="2"/>
  <c r="A58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57" i="2"/>
  <c r="D57" i="2"/>
  <c r="B57" i="2"/>
  <c r="A57" i="2"/>
  <c r="H29" i="2"/>
  <c r="B29" i="2"/>
  <c r="D29" i="2"/>
  <c r="A29" i="2"/>
  <c r="H28" i="2"/>
  <c r="D28" i="2"/>
  <c r="B28" i="2"/>
  <c r="A28" i="2"/>
  <c r="H27" i="2"/>
  <c r="B27" i="2"/>
  <c r="D27" i="2"/>
  <c r="A27" i="2"/>
  <c r="H56" i="2"/>
  <c r="D56" i="2"/>
  <c r="B56" i="2"/>
  <c r="A56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55" i="2"/>
  <c r="D55" i="2"/>
  <c r="B55" i="2"/>
  <c r="A55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Q67" i="1"/>
  <c r="Q68" i="1"/>
  <c r="Q72" i="1"/>
  <c r="Q73" i="1"/>
  <c r="Q74" i="1"/>
  <c r="C7" i="1"/>
  <c r="G67" i="1"/>
  <c r="J67" i="1"/>
  <c r="C8" i="1"/>
  <c r="Q59" i="1"/>
  <c r="Q65" i="1"/>
  <c r="Q66" i="1"/>
  <c r="F16" i="1"/>
  <c r="F17" i="1" s="1"/>
  <c r="C17" i="1"/>
  <c r="Q60" i="1"/>
  <c r="Q61" i="1"/>
  <c r="Q45" i="1"/>
  <c r="Q49" i="1"/>
  <c r="Q57" i="1"/>
  <c r="Q55" i="1"/>
  <c r="Q52" i="1"/>
  <c r="Q53" i="1"/>
  <c r="Q54" i="1"/>
  <c r="Q56" i="1"/>
  <c r="Q50" i="1"/>
  <c r="Q41" i="1"/>
  <c r="Q40" i="1"/>
  <c r="Q42" i="1"/>
  <c r="Q43" i="1"/>
  <c r="Q44" i="1"/>
  <c r="Q46" i="1"/>
  <c r="Q47" i="1"/>
  <c r="Q51" i="1"/>
  <c r="Q27" i="1"/>
  <c r="E67" i="1"/>
  <c r="E32" i="2"/>
  <c r="F67" i="1"/>
  <c r="E56" i="1"/>
  <c r="E25" i="2"/>
  <c r="F56" i="1"/>
  <c r="E21" i="1"/>
  <c r="E37" i="2"/>
  <c r="E57" i="1"/>
  <c r="F57" i="1"/>
  <c r="E27" i="1"/>
  <c r="F27" i="1"/>
  <c r="E30" i="1"/>
  <c r="F30" i="1"/>
  <c r="G30" i="1"/>
  <c r="I30" i="1"/>
  <c r="E37" i="1"/>
  <c r="F37" i="1"/>
  <c r="E24" i="1"/>
  <c r="F24" i="1"/>
  <c r="G24" i="1"/>
  <c r="I24" i="1"/>
  <c r="E61" i="1"/>
  <c r="F61" i="1"/>
  <c r="E28" i="1"/>
  <c r="F28" i="1"/>
  <c r="F21" i="1"/>
  <c r="E43" i="2"/>
  <c r="E52" i="2"/>
  <c r="E16" i="2"/>
  <c r="E40" i="2"/>
  <c r="E52" i="1"/>
  <c r="E29" i="1"/>
  <c r="F29" i="1"/>
  <c r="E72" i="1"/>
  <c r="E62" i="1"/>
  <c r="E31" i="1"/>
  <c r="E33" i="1"/>
  <c r="E47" i="1"/>
  <c r="F47" i="1"/>
  <c r="G47" i="1"/>
  <c r="K47" i="1"/>
  <c r="E49" i="1"/>
  <c r="E73" i="1"/>
  <c r="E44" i="1"/>
  <c r="F44" i="1"/>
  <c r="G44" i="1"/>
  <c r="K44" i="1"/>
  <c r="G69" i="1"/>
  <c r="K69" i="1"/>
  <c r="E63" i="1"/>
  <c r="F63" i="1"/>
  <c r="G63" i="1"/>
  <c r="K63" i="1"/>
  <c r="E71" i="1"/>
  <c r="F71" i="1"/>
  <c r="G71" i="1"/>
  <c r="K71" i="1"/>
  <c r="E64" i="1"/>
  <c r="F64" i="1"/>
  <c r="G64" i="1"/>
  <c r="K64" i="1"/>
  <c r="E23" i="1"/>
  <c r="F23" i="1"/>
  <c r="G23" i="1"/>
  <c r="I23" i="1"/>
  <c r="E39" i="1"/>
  <c r="E26" i="1"/>
  <c r="E66" i="1"/>
  <c r="E51" i="1"/>
  <c r="F51" i="1"/>
  <c r="G51" i="1"/>
  <c r="J51" i="1"/>
  <c r="E59" i="1"/>
  <c r="G37" i="1"/>
  <c r="I37" i="1"/>
  <c r="E68" i="1"/>
  <c r="F68" i="1"/>
  <c r="G68" i="1"/>
  <c r="J68" i="1"/>
  <c r="G57" i="1"/>
  <c r="J57" i="1"/>
  <c r="G27" i="1"/>
  <c r="H27" i="1"/>
  <c r="G28" i="1"/>
  <c r="I28" i="1"/>
  <c r="G38" i="1"/>
  <c r="I38" i="1"/>
  <c r="E60" i="1"/>
  <c r="E40" i="1"/>
  <c r="F40" i="1"/>
  <c r="G40" i="1"/>
  <c r="K40" i="1"/>
  <c r="E43" i="1"/>
  <c r="E42" i="1"/>
  <c r="E46" i="1"/>
  <c r="E74" i="1"/>
  <c r="E50" i="1"/>
  <c r="E38" i="1"/>
  <c r="F38" i="1"/>
  <c r="E53" i="1"/>
  <c r="E35" i="1"/>
  <c r="E22" i="1"/>
  <c r="F22" i="1"/>
  <c r="G22" i="1"/>
  <c r="I22" i="1"/>
  <c r="E34" i="1"/>
  <c r="E58" i="1"/>
  <c r="E45" i="1"/>
  <c r="F45" i="1"/>
  <c r="G45" i="1"/>
  <c r="K45" i="1"/>
  <c r="E55" i="1"/>
  <c r="E48" i="1"/>
  <c r="E32" i="1"/>
  <c r="G29" i="1"/>
  <c r="I29" i="1"/>
  <c r="E69" i="1"/>
  <c r="F69" i="1"/>
  <c r="E33" i="2"/>
  <c r="E38" i="2"/>
  <c r="E15" i="2"/>
  <c r="G21" i="1"/>
  <c r="E36" i="1"/>
  <c r="E41" i="1"/>
  <c r="G61" i="1"/>
  <c r="K61" i="1"/>
  <c r="E65" i="1"/>
  <c r="E25" i="1"/>
  <c r="E54" i="1"/>
  <c r="E70" i="1"/>
  <c r="G56" i="1"/>
  <c r="J56" i="1"/>
  <c r="E20" i="2"/>
  <c r="E39" i="2"/>
  <c r="E11" i="2"/>
  <c r="E45" i="2"/>
  <c r="F65" i="1"/>
  <c r="G65" i="1"/>
  <c r="J65" i="1"/>
  <c r="E30" i="2"/>
  <c r="E50" i="2"/>
  <c r="F35" i="1"/>
  <c r="R35" i="1"/>
  <c r="F26" i="1"/>
  <c r="G26" i="1"/>
  <c r="I26" i="1"/>
  <c r="E42" i="2"/>
  <c r="E44" i="2"/>
  <c r="F43" i="1"/>
  <c r="G43" i="1"/>
  <c r="J43" i="1"/>
  <c r="E14" i="2"/>
  <c r="E54" i="2"/>
  <c r="F39" i="1"/>
  <c r="G39" i="1"/>
  <c r="I39" i="1"/>
  <c r="E46" i="2"/>
  <c r="F31" i="1"/>
  <c r="G31" i="1"/>
  <c r="I31" i="1"/>
  <c r="E41" i="2"/>
  <c r="F25" i="1"/>
  <c r="G25" i="1"/>
  <c r="E24" i="2"/>
  <c r="F55" i="1"/>
  <c r="G55" i="1"/>
  <c r="K55" i="1"/>
  <c r="F41" i="1"/>
  <c r="G41" i="1"/>
  <c r="K41" i="1"/>
  <c r="E12" i="2"/>
  <c r="F53" i="1"/>
  <c r="G53" i="1"/>
  <c r="J53" i="1"/>
  <c r="E22" i="2"/>
  <c r="E35" i="2"/>
  <c r="F73" i="1"/>
  <c r="G73" i="1"/>
  <c r="J73" i="1"/>
  <c r="E57" i="2"/>
  <c r="F62" i="1"/>
  <c r="G62" i="1"/>
  <c r="I62" i="1"/>
  <c r="E13" i="2"/>
  <c r="F42" i="1"/>
  <c r="G42" i="1"/>
  <c r="J42" i="1"/>
  <c r="F36" i="1"/>
  <c r="G36" i="1"/>
  <c r="I36" i="1"/>
  <c r="E51" i="2"/>
  <c r="F60" i="1"/>
  <c r="G60" i="1"/>
  <c r="K60" i="1"/>
  <c r="E28" i="2"/>
  <c r="F49" i="1"/>
  <c r="G49" i="1"/>
  <c r="K49" i="1"/>
  <c r="E18" i="2"/>
  <c r="E34" i="2"/>
  <c r="F72" i="1"/>
  <c r="G72" i="1"/>
  <c r="J72" i="1"/>
  <c r="F50" i="1"/>
  <c r="G50" i="1"/>
  <c r="K50" i="1"/>
  <c r="E19" i="2"/>
  <c r="I21" i="1"/>
  <c r="E56" i="2"/>
  <c r="F58" i="1"/>
  <c r="G58" i="1"/>
  <c r="I58" i="1"/>
  <c r="F70" i="1"/>
  <c r="G70" i="1"/>
  <c r="I70" i="1"/>
  <c r="E58" i="2"/>
  <c r="F32" i="1"/>
  <c r="G32" i="1"/>
  <c r="I32" i="1"/>
  <c r="E47" i="2"/>
  <c r="F34" i="1"/>
  <c r="G34" i="1"/>
  <c r="I34" i="1"/>
  <c r="E49" i="2"/>
  <c r="F74" i="1"/>
  <c r="G74" i="1"/>
  <c r="J74" i="1"/>
  <c r="E36" i="2"/>
  <c r="E27" i="2"/>
  <c r="F59" i="1"/>
  <c r="G59" i="1"/>
  <c r="K59" i="1"/>
  <c r="E48" i="2"/>
  <c r="F33" i="1"/>
  <c r="G33" i="1"/>
  <c r="I33" i="1"/>
  <c r="E21" i="2"/>
  <c r="F52" i="1"/>
  <c r="G52" i="1"/>
  <c r="J52" i="1"/>
  <c r="F54" i="1"/>
  <c r="G54" i="1"/>
  <c r="J54" i="1"/>
  <c r="E23" i="2"/>
  <c r="E55" i="2"/>
  <c r="F48" i="1"/>
  <c r="G48" i="1"/>
  <c r="I48" i="1"/>
  <c r="F46" i="1"/>
  <c r="G46" i="1"/>
  <c r="K46" i="1"/>
  <c r="E17" i="2"/>
  <c r="E53" i="2"/>
  <c r="F66" i="1"/>
  <c r="G66" i="1"/>
  <c r="J66" i="1"/>
  <c r="E31" i="2"/>
  <c r="I25" i="1"/>
  <c r="C11" i="1"/>
  <c r="C12" i="1"/>
  <c r="C16" i="1" l="1"/>
  <c r="D18" i="1" s="1"/>
  <c r="O60" i="1"/>
  <c r="O68" i="1"/>
  <c r="O59" i="1"/>
  <c r="O50" i="1"/>
  <c r="O35" i="1"/>
  <c r="O46" i="1"/>
  <c r="O30" i="1"/>
  <c r="O23" i="1"/>
  <c r="O73" i="1"/>
  <c r="O71" i="1"/>
  <c r="O66" i="1"/>
  <c r="O27" i="1"/>
  <c r="O25" i="1"/>
  <c r="O70" i="1"/>
  <c r="O56" i="1"/>
  <c r="O67" i="1"/>
  <c r="O38" i="1"/>
  <c r="O34" i="1"/>
  <c r="O48" i="1"/>
  <c r="O31" i="1"/>
  <c r="O49" i="1"/>
  <c r="O33" i="1"/>
  <c r="O55" i="1"/>
  <c r="O45" i="1"/>
  <c r="O64" i="1"/>
  <c r="O58" i="1"/>
  <c r="O62" i="1"/>
  <c r="O28" i="1"/>
  <c r="O54" i="1"/>
  <c r="O29" i="1"/>
  <c r="O52" i="1"/>
  <c r="O42" i="1"/>
  <c r="O53" i="1"/>
  <c r="O36" i="1"/>
  <c r="O63" i="1"/>
  <c r="O26" i="1"/>
  <c r="O32" i="1"/>
  <c r="O74" i="1"/>
  <c r="O61" i="1"/>
  <c r="O41" i="1"/>
  <c r="O22" i="1"/>
  <c r="O24" i="1"/>
  <c r="O21" i="1"/>
  <c r="O57" i="1"/>
  <c r="O44" i="1"/>
  <c r="O37" i="1"/>
  <c r="O47" i="1"/>
  <c r="O43" i="1"/>
  <c r="O72" i="1"/>
  <c r="O39" i="1"/>
  <c r="C15" i="1"/>
  <c r="O40" i="1"/>
  <c r="O65" i="1"/>
  <c r="O51" i="1"/>
  <c r="O69" i="1"/>
  <c r="F18" i="1" l="1"/>
  <c r="F19" i="1" s="1"/>
  <c r="C18" i="1"/>
</calcChain>
</file>

<file path=xl/sharedStrings.xml><?xml version="1.0" encoding="utf-8"?>
<sst xmlns="http://schemas.openxmlformats.org/spreadsheetml/2006/main" count="560" uniqueCount="274">
  <si>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</si>
  <si>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</si>
  <si>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</si>
  <si>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</si>
  <si>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</si>
  <si>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</si>
  <si>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</si>
  <si>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</si>
  <si>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</si>
  <si>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</si>
  <si>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</si>
  <si>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</si>
  <si>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</si>
  <si>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</si>
  <si>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</si>
  <si>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</si>
  <si>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</si>
  <si>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</si>
  <si>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</si>
  <si>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</si>
  <si>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</si>
  <si>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</si>
  <si>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</si>
  <si>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</si>
  <si>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</si>
  <si>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</si>
  <si>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</si>
  <si>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na</t>
  </si>
  <si>
    <t>Misc</t>
  </si>
  <si>
    <t>EA</t>
  </si>
  <si>
    <t>IBVS 4472</t>
  </si>
  <si>
    <t>II</t>
  </si>
  <si>
    <t>IBVS 5263</t>
  </si>
  <si>
    <t>IBVS 5583</t>
  </si>
  <si>
    <t>IBVS 5643</t>
  </si>
  <si>
    <t>IBVS 4278</t>
  </si>
  <si>
    <t>IBVS 5676</t>
  </si>
  <si>
    <t># of data points: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</si>
  <si>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</si>
  <si>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</si>
  <si>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</si>
  <si>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</si>
  <si>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</si>
  <si>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</si>
  <si>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</si>
  <si>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</si>
  <si>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</si>
  <si>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IBVS 5837</t>
  </si>
  <si>
    <t>OEJV 0074</t>
  </si>
  <si>
    <t>IBVS 5933</t>
  </si>
  <si>
    <t>Add cycle</t>
  </si>
  <si>
    <t>Old Cycle</t>
  </si>
  <si>
    <t>IBVS 5835</t>
  </si>
  <si>
    <t>IBVS 5959</t>
  </si>
  <si>
    <t>BAD?</t>
  </si>
  <si>
    <t>V0961 Cyg / GSC 2660-3699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</si>
  <si>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</si>
  <si>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</si>
  <si>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</si>
  <si>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</si>
  <si>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</si>
  <si>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</si>
  <si>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</si>
  <si>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</si>
  <si>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</si>
  <si>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</si>
  <si>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</si>
  <si>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</si>
  <si>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</si>
  <si>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</si>
  <si>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</si>
  <si>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2433487.490 </t>
  </si>
  <si>
    <t> 24.07.1950 23:45 </t>
  </si>
  <si>
    <t> 0.002 </t>
  </si>
  <si>
    <t>P </t>
  </si>
  <si>
    <t> A.A.Wachmann </t>
  </si>
  <si>
    <t> AHSB 6.1.48 </t>
  </si>
  <si>
    <t>2433534.345 </t>
  </si>
  <si>
    <t> 09.09.1950 20:16 </t>
  </si>
  <si>
    <t> -0.013 </t>
  </si>
  <si>
    <t>2433538.435 </t>
  </si>
  <si>
    <t> 13.09.1950 22:26 </t>
  </si>
  <si>
    <t>2434133.466 </t>
  </si>
  <si>
    <t> 30.04.1952 23:11 </t>
  </si>
  <si>
    <t> -0.007 </t>
  </si>
  <si>
    <t>2434237.397 </t>
  </si>
  <si>
    <t> 12.08.1952 21:31 </t>
  </si>
  <si>
    <t> -0.004 </t>
  </si>
  <si>
    <t>2434239.443 </t>
  </si>
  <si>
    <t> 14.08.1952 22:37 </t>
  </si>
  <si>
    <t> 0.004 </t>
  </si>
  <si>
    <t>2434987.319 </t>
  </si>
  <si>
    <t> 01.09.1954 19:39 </t>
  </si>
  <si>
    <t> 0.005 </t>
  </si>
  <si>
    <t>2435044.374 </t>
  </si>
  <si>
    <t> 28.10.1954 20:58 </t>
  </si>
  <si>
    <t>2435162.576 </t>
  </si>
  <si>
    <t> 24.02.1955 01:49 </t>
  </si>
  <si>
    <t> 0.011 </t>
  </si>
  <si>
    <t>2435317.446 </t>
  </si>
  <si>
    <t> 28.07.1955 22:42 </t>
  </si>
  <si>
    <t> 0.007 </t>
  </si>
  <si>
    <t>2435370.428 </t>
  </si>
  <si>
    <t> 19.09.1955 22:16 </t>
  </si>
  <si>
    <t> 0.006 </t>
  </si>
  <si>
    <t>2435374.484 </t>
  </si>
  <si>
    <t> 23.09.1955 23:36 </t>
  </si>
  <si>
    <t>2436819.299 </t>
  </si>
  <si>
    <t> 07.09.1959 19:10 </t>
  </si>
  <si>
    <t>2447664.438 </t>
  </si>
  <si>
    <t> 17.05.1989 22:30 </t>
  </si>
  <si>
    <t> -0.072 </t>
  </si>
  <si>
    <t> Moschner&amp;Kleikamp </t>
  </si>
  <si>
    <t>BAVM 52 </t>
  </si>
  <si>
    <t>2447668.537 </t>
  </si>
  <si>
    <t> 22.05.1989 00:53 </t>
  </si>
  <si>
    <t> -0.049 </t>
  </si>
  <si>
    <t>BAVM 56 </t>
  </si>
  <si>
    <t>2447719.477 </t>
  </si>
  <si>
    <t> 11.07.1989 23:26 </t>
  </si>
  <si>
    <t> -0.054 </t>
  </si>
  <si>
    <t>2447769.402 </t>
  </si>
  <si>
    <t> 30.08.1989 21:38 </t>
  </si>
  <si>
    <t> -0.055 </t>
  </si>
  <si>
    <t> P.Frank </t>
  </si>
  <si>
    <t>BAVM 60 </t>
  </si>
  <si>
    <t>2448850.454 </t>
  </si>
  <si>
    <t> 15.08.1992 22:53 </t>
  </si>
  <si>
    <t> -0.060 </t>
  </si>
  <si>
    <t> Moschner &amp; Lau </t>
  </si>
  <si>
    <t>BAVM 93 </t>
  </si>
  <si>
    <t>2449925.3961 </t>
  </si>
  <si>
    <t> 26.07.1995 21:30 </t>
  </si>
  <si>
    <t> -0.0605 </t>
  </si>
  <si>
    <t>E </t>
  </si>
  <si>
    <t>?</t>
  </si>
  <si>
    <t> Wolf &amp; Sarounova </t>
  </si>
  <si>
    <t>IBVS 4278 </t>
  </si>
  <si>
    <t>2449928.4523 </t>
  </si>
  <si>
    <t> 29.07.1995 22:51 </t>
  </si>
  <si>
    <t> -0.0611 </t>
  </si>
  <si>
    <t>2450152.6104 </t>
  </si>
  <si>
    <t> 10.03.1996 02:38 </t>
  </si>
  <si>
    <t> -0.0617 </t>
  </si>
  <si>
    <t>o</t>
  </si>
  <si>
    <t> W.Moschner </t>
  </si>
  <si>
    <t>BAVM 99 </t>
  </si>
  <si>
    <t>2450153.6298 </t>
  </si>
  <si>
    <t> 11.03.1996 03:06 </t>
  </si>
  <si>
    <t> -0.0612 </t>
  </si>
  <si>
    <t>2451379.3653 </t>
  </si>
  <si>
    <t> 19.07.1999 20:46 </t>
  </si>
  <si>
    <t> -0.0665 </t>
  </si>
  <si>
    <t> J.Safar </t>
  </si>
  <si>
    <t>IBVS 5263 </t>
  </si>
  <si>
    <t>2451758.39698 </t>
  </si>
  <si>
    <t> 01.08.2000 21:31 </t>
  </si>
  <si>
    <t> -0.06689 </t>
  </si>
  <si>
    <t>C </t>
  </si>
  <si>
    <t> J.Šafár </t>
  </si>
  <si>
    <t>OEJV 0074 </t>
  </si>
  <si>
    <t>2452031.4614 </t>
  </si>
  <si>
    <t> 01.05.2001 23:04 </t>
  </si>
  <si>
    <t> -0.0686 </t>
  </si>
  <si>
    <t> M.Zejda </t>
  </si>
  <si>
    <t>IBVS 5583 </t>
  </si>
  <si>
    <t>2452084.4450 </t>
  </si>
  <si>
    <t> 23.06.2001 22:40 </t>
  </si>
  <si>
    <t> -0.0680 </t>
  </si>
  <si>
    <t> R.Diethelm </t>
  </si>
  <si>
    <t> BBS 125 </t>
  </si>
  <si>
    <t>2452137.42897 </t>
  </si>
  <si>
    <t> 15.08.2001 22:17 </t>
  </si>
  <si>
    <t> -0.06696 </t>
  </si>
  <si>
    <t>2452688.6516 </t>
  </si>
  <si>
    <t> 18.02.2003 03:38 </t>
  </si>
  <si>
    <t> -0.0711 </t>
  </si>
  <si>
    <t> L.Kotková &amp; M.Wolf </t>
  </si>
  <si>
    <t>IBVS 5676 </t>
  </si>
  <si>
    <t>2452839.4486 </t>
  </si>
  <si>
    <t> 18.07.2003 22:45 </t>
  </si>
  <si>
    <t> -0.0718 </t>
  </si>
  <si>
    <t>BAVM 172 </t>
  </si>
  <si>
    <t>2453592.4161 </t>
  </si>
  <si>
    <t> 09.08.2005 21:59 </t>
  </si>
  <si>
    <t> -0.0739 </t>
  </si>
  <si>
    <t>IBVS 5713 </t>
  </si>
  <si>
    <t>2453639.2822 </t>
  </si>
  <si>
    <t> 25.09.2005 18:46 </t>
  </si>
  <si>
    <t> -0.0773 </t>
  </si>
  <si>
    <t>-I</t>
  </si>
  <si>
    <t>BAVM 178 </t>
  </si>
  <si>
    <t>2453650.4910 </t>
  </si>
  <si>
    <t> 06.10.2005 23:47 </t>
  </si>
  <si>
    <t>9526.5</t>
  </si>
  <si>
    <t> -0.0765 </t>
  </si>
  <si>
    <t> F.Agerer </t>
  </si>
  <si>
    <t>2453918.4636 </t>
  </si>
  <si>
    <t> 01.07.2006 23:07 </t>
  </si>
  <si>
    <t>9658</t>
  </si>
  <si>
    <t> -0.0755 </t>
  </si>
  <si>
    <t> BBS 133 (=IBVS 5781) </t>
  </si>
  <si>
    <t>2453920.5015 </t>
  </si>
  <si>
    <t> 04.07.2006 00:02 </t>
  </si>
  <si>
    <t>9659</t>
  </si>
  <si>
    <t> -0.0754 </t>
  </si>
  <si>
    <t>2454295.4568 </t>
  </si>
  <si>
    <t> 13.07.2007 22:57 </t>
  </si>
  <si>
    <t>9843</t>
  </si>
  <si>
    <t>IBVS 5837 </t>
  </si>
  <si>
    <t>2454298.5115 </t>
  </si>
  <si>
    <t> 17.07.2007 00:16 </t>
  </si>
  <si>
    <t>9844.5</t>
  </si>
  <si>
    <t> -0.0785 </t>
  </si>
  <si>
    <t>BAVM 193 </t>
  </si>
  <si>
    <t>2454397.3462 </t>
  </si>
  <si>
    <t> 23.10.2007 20:18 </t>
  </si>
  <si>
    <t>9893</t>
  </si>
  <si>
    <t> -0.0775 </t>
  </si>
  <si>
    <t> T.Borkovits et al. </t>
  </si>
  <si>
    <t>IBVS 5835 </t>
  </si>
  <si>
    <t>2454994.4216 </t>
  </si>
  <si>
    <t> 11.06.2009 22:07 </t>
  </si>
  <si>
    <t>10186</t>
  </si>
  <si>
    <t> -0.0795 </t>
  </si>
  <si>
    <t> S.Kleidis </t>
  </si>
  <si>
    <t>IBVS 5933 </t>
  </si>
  <si>
    <t>2454995.4417 </t>
  </si>
  <si>
    <t> 12.06.2009 22:36 </t>
  </si>
  <si>
    <t>10186.5</t>
  </si>
  <si>
    <t> -0.0783 </t>
  </si>
  <si>
    <t>2454996.4601 </t>
  </si>
  <si>
    <t> 13.06.2009 23:02 </t>
  </si>
  <si>
    <t>10187</t>
  </si>
  <si>
    <t> -0.0788 </t>
  </si>
  <si>
    <t>BAVM 212 </t>
  </si>
  <si>
    <t>2455375.4909 </t>
  </si>
  <si>
    <t> 27.06.2010 23:46 </t>
  </si>
  <si>
    <t>10373</t>
  </si>
  <si>
    <t> -0.0800 </t>
  </si>
  <si>
    <t>BAVM 214 </t>
  </si>
  <si>
    <t>2455376.5093 </t>
  </si>
  <si>
    <t> 29.06.2010 00:13 </t>
  </si>
  <si>
    <t>10373.5</t>
  </si>
  <si>
    <t> -0.0805 </t>
  </si>
  <si>
    <t>2455429.4942 </t>
  </si>
  <si>
    <t> 20.08.2010 23:51 </t>
  </si>
  <si>
    <t>10399.5</t>
  </si>
  <si>
    <t> -0.0786 </t>
  </si>
  <si>
    <t>BAVM 215 </t>
  </si>
  <si>
    <t>2455430.5101 </t>
  </si>
  <si>
    <t> 22.08.2010 00:14 </t>
  </si>
  <si>
    <t>10400</t>
  </si>
  <si>
    <t> -0.0816 </t>
  </si>
  <si>
    <t>2455804.4471 </t>
  </si>
  <si>
    <t> 30.08.2011 22:43 </t>
  </si>
  <si>
    <t>10583.5</t>
  </si>
  <si>
    <t> -0.0822 </t>
  </si>
  <si>
    <t>BAVM 225 </t>
  </si>
  <si>
    <t>2456730.6275 </t>
  </si>
  <si>
    <t> 14.03.2014 03:03 </t>
  </si>
  <si>
    <t>11038</t>
  </si>
  <si>
    <t> -0.0850 </t>
  </si>
  <si>
    <t> W.Moschner &amp; P.Frank </t>
  </si>
  <si>
    <t>BAVM 239 </t>
  </si>
  <si>
    <t>2456929.3128 </t>
  </si>
  <si>
    <t> 28.09.2014 19:30 </t>
  </si>
  <si>
    <t>11135.5</t>
  </si>
  <si>
    <t> -0.0858 </t>
  </si>
  <si>
    <t>2456930.3314 </t>
  </si>
  <si>
    <t> 29.09.2014 19:57 </t>
  </si>
  <si>
    <t>11136</t>
  </si>
  <si>
    <t> -0.0861 </t>
  </si>
  <si>
    <t>IBVS 6230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</si>
</sst>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9" fillId="2" borderId="13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3" fillId="0" borderId="0" xfId="8" applyFont="1" applyAlignment="1">
      <alignment horizontal="left" vertical="center" wrapText="1"/>
    </xf>
    <xf numFmtId="0" fontId="23" fillId="0" borderId="0" xfId="8" applyFont="1" applyAlignment="1">
      <alignment horizontal="center" vertical="center" wrapText="1"/>
    </xf>
    <xf numFmtId="0" fontId="23" fillId="0" borderId="0" xfId="8" applyFont="1" applyAlignment="1">
      <alignment horizontal="left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V0961 Cyg - O-C Diagr.</a:t>
            </a:r>
          </a:p>
        </c:rich>
      </c:tx>
      <c:layout>
        <c:manualLayout>
          <c:xMode val="edge"/>
          <c:yMode val="edge"/>
          <c:x val="0.35702780286551417"/>
          <c:y val="3.3132376857800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457831325301204"/>
          <c:w val="0.80937058998462585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Active!$C$21:$C$1965</c:f>
                <c:numCache>
                  <c:formatCode>General</c:formatCode>
                  <c:ptCount val="1945"/>
                  <c:pt idx="0">
                    <c:v>33487.49</c:v>
                  </c:pt>
                  <c:pt idx="1">
                    <c:v>33534.345000000001</c:v>
                  </c:pt>
                  <c:pt idx="2">
                    <c:v>33538.434999999998</c:v>
                  </c:pt>
                  <c:pt idx="3">
                    <c:v>34133.466</c:v>
                  </c:pt>
                  <c:pt idx="4">
                    <c:v>34237.396999999997</c:v>
                  </c:pt>
                  <c:pt idx="5">
                    <c:v>34239.442999999999</c:v>
                  </c:pt>
                  <c:pt idx="6">
                    <c:v>34239.442999999999</c:v>
                  </c:pt>
                  <c:pt idx="7">
                    <c:v>34987.319000000003</c:v>
                  </c:pt>
                  <c:pt idx="8">
                    <c:v>35044.374000000003</c:v>
                  </c:pt>
                  <c:pt idx="9">
                    <c:v>35162.576000000001</c:v>
                  </c:pt>
                  <c:pt idx="10">
                    <c:v>35317.446000000004</c:v>
                  </c:pt>
                  <c:pt idx="11">
                    <c:v>35370.428</c:v>
                  </c:pt>
                  <c:pt idx="12">
                    <c:v>35374.483999999997</c:v>
                  </c:pt>
                  <c:pt idx="13">
                    <c:v>36819.298999999999</c:v>
                  </c:pt>
                  <c:pt idx="14">
                    <c:v>47664.438000000002</c:v>
                  </c:pt>
                  <c:pt idx="15">
                    <c:v>47668.536999999997</c:v>
                  </c:pt>
                  <c:pt idx="16">
                    <c:v>47719.476999999999</c:v>
                  </c:pt>
                  <c:pt idx="17">
                    <c:v>47769.402000000002</c:v>
                  </c:pt>
                  <c:pt idx="18">
                    <c:v>48850.453999999998</c:v>
                  </c:pt>
                  <c:pt idx="19">
                    <c:v>49925.396099999998</c:v>
                  </c:pt>
                  <c:pt idx="20">
                    <c:v>49928.452299999997</c:v>
                  </c:pt>
                  <c:pt idx="21">
                    <c:v>50152.610399999998</c:v>
                  </c:pt>
                  <c:pt idx="22">
                    <c:v>50153.629800000002</c:v>
                  </c:pt>
                  <c:pt idx="23">
                    <c:v>51379.365299999998</c:v>
                  </c:pt>
                  <c:pt idx="24">
                    <c:v>51758.396979999998</c:v>
                  </c:pt>
                  <c:pt idx="25">
                    <c:v>52031.4614</c:v>
                  </c:pt>
                  <c:pt idx="26">
                    <c:v>52031.4614</c:v>
                  </c:pt>
                  <c:pt idx="27">
                    <c:v>52084.445</c:v>
                  </c:pt>
                  <c:pt idx="28">
                    <c:v>52137.428970000001</c:v>
                  </c:pt>
                  <c:pt idx="29">
                    <c:v>52688.651599999997</c:v>
                  </c:pt>
                  <c:pt idx="30">
                    <c:v>52839.448600000003</c:v>
                  </c:pt>
                  <c:pt idx="31">
                    <c:v>53592.416100000002</c:v>
                  </c:pt>
                  <c:pt idx="32">
                    <c:v>53639.282200000001</c:v>
                  </c:pt>
                  <c:pt idx="33">
                    <c:v>53650.491000000002</c:v>
                  </c:pt>
                  <c:pt idx="34">
                    <c:v>53918.463600000003</c:v>
                  </c:pt>
                  <c:pt idx="35">
                    <c:v>53920.501499999998</c:v>
                  </c:pt>
                  <c:pt idx="36">
                    <c:v>54295.4568</c:v>
                  </c:pt>
                  <c:pt idx="37">
                    <c:v>54298.511500000001</c:v>
                  </c:pt>
                  <c:pt idx="38">
                    <c:v>54397.3462</c:v>
                  </c:pt>
                  <c:pt idx="39">
                    <c:v>54994.421600000001</c:v>
                  </c:pt>
                  <c:pt idx="40">
                    <c:v>54995.441700000003</c:v>
                  </c:pt>
                  <c:pt idx="41">
                    <c:v>54996.460099999997</c:v>
                  </c:pt>
                  <c:pt idx="42">
                    <c:v>55320.469700000001</c:v>
                  </c:pt>
                  <c:pt idx="43">
                    <c:v>55325.564299999998</c:v>
                  </c:pt>
                  <c:pt idx="44">
                    <c:v>55375.490899999997</c:v>
                  </c:pt>
                  <c:pt idx="45">
                    <c:v>55376.509299999998</c:v>
                  </c:pt>
                  <c:pt idx="46">
                    <c:v>55429.494200000001</c:v>
                  </c:pt>
                  <c:pt idx="47">
                    <c:v>55430.5101</c:v>
                  </c:pt>
                  <c:pt idx="48">
                    <c:v>55482.475299999998</c:v>
                  </c:pt>
                  <c:pt idx="49">
                    <c:v>55804.447099999998</c:v>
                  </c:pt>
                  <c:pt idx="50">
                    <c:v>56503.410900000003</c:v>
                  </c:pt>
                  <c:pt idx="51">
                    <c:v>56730.627500000002</c:v>
                  </c:pt>
                  <c:pt idx="52">
                    <c:v>56929.3128</c:v>
                  </c:pt>
                  <c:pt idx="53">
                    <c:v>56930.331400000003</c:v>
                  </c:pt>
                </c:numCache>
              </c:numRef>
            </c:plus>
            <c:minus>
              <c:numRef>
                <c:f>Active!$C$21:$C$1965</c:f>
                <c:numCache>
                  <c:formatCode>General</c:formatCode>
                  <c:ptCount val="1945"/>
                  <c:pt idx="0">
                    <c:v>33487.49</c:v>
                  </c:pt>
                  <c:pt idx="1">
                    <c:v>33534.345000000001</c:v>
                  </c:pt>
                  <c:pt idx="2">
                    <c:v>33538.434999999998</c:v>
                  </c:pt>
                  <c:pt idx="3">
                    <c:v>34133.466</c:v>
                  </c:pt>
                  <c:pt idx="4">
                    <c:v>34237.396999999997</c:v>
                  </c:pt>
                  <c:pt idx="5">
                    <c:v>34239.442999999999</c:v>
                  </c:pt>
                  <c:pt idx="6">
                    <c:v>34239.442999999999</c:v>
                  </c:pt>
                  <c:pt idx="7">
                    <c:v>34987.319000000003</c:v>
                  </c:pt>
                  <c:pt idx="8">
                    <c:v>35044.374000000003</c:v>
                  </c:pt>
                  <c:pt idx="9">
                    <c:v>35162.576000000001</c:v>
                  </c:pt>
                  <c:pt idx="10">
                    <c:v>35317.446000000004</c:v>
                  </c:pt>
                  <c:pt idx="11">
                    <c:v>35370.428</c:v>
                  </c:pt>
                  <c:pt idx="12">
                    <c:v>35374.483999999997</c:v>
                  </c:pt>
                  <c:pt idx="13">
                    <c:v>36819.298999999999</c:v>
                  </c:pt>
                  <c:pt idx="14">
                    <c:v>47664.438000000002</c:v>
                  </c:pt>
                  <c:pt idx="15">
                    <c:v>47668.536999999997</c:v>
                  </c:pt>
                  <c:pt idx="16">
                    <c:v>47719.476999999999</c:v>
                  </c:pt>
                  <c:pt idx="17">
                    <c:v>47769.402000000002</c:v>
                  </c:pt>
                  <c:pt idx="18">
                    <c:v>48850.453999999998</c:v>
                  </c:pt>
                  <c:pt idx="19">
                    <c:v>49925.396099999998</c:v>
                  </c:pt>
                  <c:pt idx="20">
                    <c:v>49928.452299999997</c:v>
                  </c:pt>
                  <c:pt idx="21">
                    <c:v>50152.610399999998</c:v>
                  </c:pt>
                  <c:pt idx="22">
                    <c:v>50153.629800000002</c:v>
                  </c:pt>
                  <c:pt idx="23">
                    <c:v>51379.365299999998</c:v>
                  </c:pt>
                  <c:pt idx="24">
                    <c:v>51758.396979999998</c:v>
                  </c:pt>
                  <c:pt idx="25">
                    <c:v>52031.4614</c:v>
                  </c:pt>
                  <c:pt idx="26">
                    <c:v>52031.4614</c:v>
                  </c:pt>
                  <c:pt idx="27">
                    <c:v>52084.445</c:v>
                  </c:pt>
                  <c:pt idx="28">
                    <c:v>52137.428970000001</c:v>
                  </c:pt>
                  <c:pt idx="29">
                    <c:v>52688.651599999997</c:v>
                  </c:pt>
                  <c:pt idx="30">
                    <c:v>52839.448600000003</c:v>
                  </c:pt>
                  <c:pt idx="31">
                    <c:v>53592.416100000002</c:v>
                  </c:pt>
                  <c:pt idx="32">
                    <c:v>53639.282200000001</c:v>
                  </c:pt>
                  <c:pt idx="33">
                    <c:v>53650.491000000002</c:v>
                  </c:pt>
                  <c:pt idx="34">
                    <c:v>53918.463600000003</c:v>
                  </c:pt>
                  <c:pt idx="35">
                    <c:v>53920.501499999998</c:v>
                  </c:pt>
                  <c:pt idx="36">
                    <c:v>54295.4568</c:v>
                  </c:pt>
                  <c:pt idx="37">
                    <c:v>54298.511500000001</c:v>
                  </c:pt>
                  <c:pt idx="38">
                    <c:v>54397.3462</c:v>
                  </c:pt>
                  <c:pt idx="39">
                    <c:v>54994.421600000001</c:v>
                  </c:pt>
                  <c:pt idx="40">
                    <c:v>54995.441700000003</c:v>
                  </c:pt>
                  <c:pt idx="41">
                    <c:v>54996.460099999997</c:v>
                  </c:pt>
                  <c:pt idx="42">
                    <c:v>55320.469700000001</c:v>
                  </c:pt>
                  <c:pt idx="43">
                    <c:v>55325.564299999998</c:v>
                  </c:pt>
                  <c:pt idx="44">
                    <c:v>55375.490899999997</c:v>
                  </c:pt>
                  <c:pt idx="45">
                    <c:v>55376.509299999998</c:v>
                  </c:pt>
                  <c:pt idx="46">
                    <c:v>55429.494200000001</c:v>
                  </c:pt>
                  <c:pt idx="47">
                    <c:v>55430.5101</c:v>
                  </c:pt>
                  <c:pt idx="48">
                    <c:v>55482.475299999998</c:v>
                  </c:pt>
                  <c:pt idx="49">
                    <c:v>55804.447099999998</c:v>
                  </c:pt>
                  <c:pt idx="50">
                    <c:v>56503.410900000003</c:v>
                  </c:pt>
                  <c:pt idx="51">
                    <c:v>56730.627500000002</c:v>
                  </c:pt>
                  <c:pt idx="52">
                    <c:v>56929.3128</c:v>
                  </c:pt>
                  <c:pt idx="53">
                    <c:v>56930.331400000003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6">
                  <c:v>4.1932000021915883E-3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06-4AB7-9258-CDB623354F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3">
                    <c:v>2E-3</c:v>
                  </c:pt>
                  <c:pt idx="24">
                    <c:v>3.3E-3</c:v>
                  </c:pt>
                  <c:pt idx="25">
                    <c:v>7.1000000000000004E-3</c:v>
                  </c:pt>
                  <c:pt idx="26">
                    <c:v>7.1000000000000004E-3</c:v>
                  </c:pt>
                  <c:pt idx="27">
                    <c:v>0</c:v>
                  </c:pt>
                  <c:pt idx="28">
                    <c:v>3.3999999999999998E-3</c:v>
                  </c:pt>
                  <c:pt idx="29">
                    <c:v>1E-4</c:v>
                  </c:pt>
                  <c:pt idx="30">
                    <c:v>1.1000000000000001E-3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8.0000000000000004E-4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2.8999999999999998E-3</c:v>
                  </c:pt>
                  <c:pt idx="48">
                    <c:v>4.0000000000000002E-4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1E-3</c:v>
                  </c:pt>
                  <c:pt idx="53">
                    <c:v>1.8E-3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3">
                    <c:v>2E-3</c:v>
                  </c:pt>
                  <c:pt idx="24">
                    <c:v>3.3E-3</c:v>
                  </c:pt>
                  <c:pt idx="25">
                    <c:v>7.1000000000000004E-3</c:v>
                  </c:pt>
                  <c:pt idx="26">
                    <c:v>7.1000000000000004E-3</c:v>
                  </c:pt>
                  <c:pt idx="27">
                    <c:v>0</c:v>
                  </c:pt>
                  <c:pt idx="28">
                    <c:v>3.3999999999999998E-3</c:v>
                  </c:pt>
                  <c:pt idx="29">
                    <c:v>1E-4</c:v>
                  </c:pt>
                  <c:pt idx="30">
                    <c:v>1.1000000000000001E-3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8.0000000000000004E-4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2.8999999999999998E-3</c:v>
                  </c:pt>
                  <c:pt idx="48">
                    <c:v>4.0000000000000002E-4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1E-3</c:v>
                  </c:pt>
                  <c:pt idx="5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0">
                  <c:v>1.9023999993805774E-3</c:v>
                </c:pt>
                <c:pt idx="1">
                  <c:v>-1.265399999829242E-2</c:v>
                </c:pt>
                <c:pt idx="2">
                  <c:v>1.7324000000371598E-3</c:v>
                </c:pt>
                <c:pt idx="3">
                  <c:v>-6.8532000004779547E-3</c:v>
                </c:pt>
                <c:pt idx="4">
                  <c:v>-4.0000000008149073E-3</c:v>
                </c:pt>
                <c:pt idx="5">
                  <c:v>4.1932000021915883E-3</c:v>
                </c:pt>
                <c:pt idx="7">
                  <c:v>5.0976000056834891E-3</c:v>
                </c:pt>
                <c:pt idx="8">
                  <c:v>1.5072000023792498E-3</c:v>
                </c:pt>
                <c:pt idx="9">
                  <c:v>1.0712800001783762E-2</c:v>
                </c:pt>
                <c:pt idx="10">
                  <c:v>7.3960000081569888E-3</c:v>
                </c:pt>
                <c:pt idx="11">
                  <c:v>6.419199999072589E-3</c:v>
                </c:pt>
                <c:pt idx="12">
                  <c:v>-1.3194400002248585E-2</c:v>
                </c:pt>
                <c:pt idx="13">
                  <c:v>-3.215600001567509E-3</c:v>
                </c:pt>
                <c:pt idx="15">
                  <c:v>-4.8618799999530893E-2</c:v>
                </c:pt>
                <c:pt idx="16">
                  <c:v>-5.3788799996254966E-2</c:v>
                </c:pt>
                <c:pt idx="17">
                  <c:v>-5.5055399992852472E-2</c:v>
                </c:pt>
                <c:pt idx="18">
                  <c:v>-5.9562800001003779E-2</c:v>
                </c:pt>
                <c:pt idx="27">
                  <c:v>-6.7954399994050618E-2</c:v>
                </c:pt>
                <c:pt idx="37">
                  <c:v>-7.8542600000218954E-2</c:v>
                </c:pt>
                <c:pt idx="41">
                  <c:v>-7.8771599997708108E-2</c:v>
                </c:pt>
                <c:pt idx="49">
                  <c:v>-8.2167799999297131E-2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6-4AB7-9258-CDB623354F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21">
                  <c:v>-6.1708000001090113E-2</c:v>
                </c:pt>
                <c:pt idx="22">
                  <c:v>-6.1211399995954707E-2</c:v>
                </c:pt>
                <c:pt idx="30">
                  <c:v>-7.1773799994844012E-2</c:v>
                </c:pt>
                <c:pt idx="31">
                  <c:v>-7.3886399994080421E-2</c:v>
                </c:pt>
                <c:pt idx="32">
                  <c:v>-7.7342799995676614E-2</c:v>
                </c:pt>
                <c:pt idx="33">
                  <c:v>-7.6480199997604359E-2</c:v>
                </c:pt>
                <c:pt idx="35">
                  <c:v>-7.5381199996627402E-2</c:v>
                </c:pt>
                <c:pt idx="36">
                  <c:v>-7.6532399994903244E-2</c:v>
                </c:pt>
                <c:pt idx="44">
                  <c:v>-8.0036399995151442E-2</c:v>
                </c:pt>
                <c:pt idx="45">
                  <c:v>-8.0539800001133699E-2</c:v>
                </c:pt>
                <c:pt idx="46">
                  <c:v>-7.8616599996166769E-2</c:v>
                </c:pt>
                <c:pt idx="47">
                  <c:v>-8.1619999997201376E-2</c:v>
                </c:pt>
                <c:pt idx="51">
                  <c:v>-8.4958399995230138E-2</c:v>
                </c:pt>
                <c:pt idx="52">
                  <c:v>-8.5821399996348191E-2</c:v>
                </c:pt>
                <c:pt idx="53">
                  <c:v>-8.6124799992830958E-2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06-4AB7-9258-CDB623354F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19">
                  <c:v>-6.054980000044452E-2</c:v>
                </c:pt>
                <c:pt idx="20">
                  <c:v>-6.1059999999997672E-2</c:v>
                </c:pt>
                <c:pt idx="23">
                  <c:v>-6.6501599998446181E-2</c:v>
                </c:pt>
                <c:pt idx="24">
                  <c:v>-6.6886399996292312E-2</c:v>
                </c:pt>
                <c:pt idx="25">
                  <c:v>-6.8577599995478522E-2</c:v>
                </c:pt>
                <c:pt idx="26">
                  <c:v>-6.8577599995478522E-2</c:v>
                </c:pt>
                <c:pt idx="28">
                  <c:v>-6.6961199998331722E-2</c:v>
                </c:pt>
                <c:pt idx="29">
                  <c:v>-7.1070599995437078E-2</c:v>
                </c:pt>
                <c:pt idx="34">
                  <c:v>-7.5474399993254337E-2</c:v>
                </c:pt>
                <c:pt idx="38">
                  <c:v>-7.747239999298472E-2</c:v>
                </c:pt>
                <c:pt idx="39">
                  <c:v>-7.9464799993729685E-2</c:v>
                </c:pt>
                <c:pt idx="40">
                  <c:v>-7.8268199991725851E-2</c:v>
                </c:pt>
                <c:pt idx="42">
                  <c:v>-8.0452799993508961E-2</c:v>
                </c:pt>
                <c:pt idx="43">
                  <c:v>-8.0369799994514324E-2</c:v>
                </c:pt>
                <c:pt idx="48">
                  <c:v>-8.0493399997067172E-2</c:v>
                </c:pt>
                <c:pt idx="50">
                  <c:v>-8.6100199994689319E-2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06-4AB7-9258-CDB623354F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06-4AB7-9258-CDB623354F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06-4AB7-9258-CDB623354F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06-4AB7-9258-CDB623354F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4.3601677152011048E-3</c:v>
                </c:pt>
                <c:pt idx="1">
                  <c:v>4.1772033076150246E-3</c:v>
                </c:pt>
                <c:pt idx="2">
                  <c:v>4.1612933591292783E-3</c:v>
                </c:pt>
                <c:pt idx="3">
                  <c:v>1.8384408802103471E-3</c:v>
                </c:pt>
                <c:pt idx="4">
                  <c:v>1.4327371938238215E-3</c:v>
                </c:pt>
                <c:pt idx="5">
                  <c:v>1.4247822195809483E-3</c:v>
                </c:pt>
                <c:pt idx="6">
                  <c:v>1.4247822195809483E-3</c:v>
                </c:pt>
                <c:pt idx="7">
                  <c:v>-1.4946933275534623E-3</c:v>
                </c:pt>
                <c:pt idx="8">
                  <c:v>-1.7174326063539077E-3</c:v>
                </c:pt>
                <c:pt idx="9">
                  <c:v>-2.1788211124405448E-3</c:v>
                </c:pt>
                <c:pt idx="10">
                  <c:v>-2.7833991548988964E-3</c:v>
                </c:pt>
                <c:pt idx="11">
                  <c:v>-2.990228485213596E-3</c:v>
                </c:pt>
                <c:pt idx="12">
                  <c:v>-3.0061384336993423E-3</c:v>
                </c:pt>
                <c:pt idx="13">
                  <c:v>-8.6462151718963379E-3</c:v>
                </c:pt>
                <c:pt idx="14">
                  <c:v>-5.0982588092466724E-2</c:v>
                </c:pt>
                <c:pt idx="15">
                  <c:v>-5.0998498040952474E-2</c:v>
                </c:pt>
                <c:pt idx="16">
                  <c:v>-5.11973723970243E-2</c:v>
                </c:pt>
                <c:pt idx="17">
                  <c:v>-5.1392269265974691E-2</c:v>
                </c:pt>
                <c:pt idx="18">
                  <c:v>-5.5612383101818846E-2</c:v>
                </c:pt>
                <c:pt idx="19">
                  <c:v>-5.9808632014934381E-2</c:v>
                </c:pt>
                <c:pt idx="20">
                  <c:v>-5.9820564476298688E-2</c:v>
                </c:pt>
                <c:pt idx="21">
                  <c:v>-6.0695611643014728E-2</c:v>
                </c:pt>
                <c:pt idx="22">
                  <c:v>-6.0699589130136164E-2</c:v>
                </c:pt>
                <c:pt idx="23">
                  <c:v>-6.5484506137224299E-2</c:v>
                </c:pt>
                <c:pt idx="24">
                  <c:v>-6.6964131346398698E-2</c:v>
                </c:pt>
                <c:pt idx="25">
                  <c:v>-6.8030097894943686E-2</c:v>
                </c:pt>
                <c:pt idx="26">
                  <c:v>-6.8030097894943686E-2</c:v>
                </c:pt>
                <c:pt idx="27">
                  <c:v>-6.8236927225258384E-2</c:v>
                </c:pt>
                <c:pt idx="28">
                  <c:v>-6.8443756555573082E-2</c:v>
                </c:pt>
                <c:pt idx="29">
                  <c:v>-7.0595577088270245E-2</c:v>
                </c:pt>
                <c:pt idx="30">
                  <c:v>-7.1184245182242853E-2</c:v>
                </c:pt>
                <c:pt idx="31">
                  <c:v>-7.4123608164984436E-2</c:v>
                </c:pt>
                <c:pt idx="32">
                  <c:v>-7.430657257257052E-2</c:v>
                </c:pt>
                <c:pt idx="33">
                  <c:v>-7.435032493090632E-2</c:v>
                </c:pt>
                <c:pt idx="34">
                  <c:v>-7.5396404043844123E-2</c:v>
                </c:pt>
                <c:pt idx="35">
                  <c:v>-7.5404359018086994E-2</c:v>
                </c:pt>
                <c:pt idx="36">
                  <c:v>-7.686807427877565E-2</c:v>
                </c:pt>
                <c:pt idx="37">
                  <c:v>-7.688000674013995E-2</c:v>
                </c:pt>
                <c:pt idx="38">
                  <c:v>-7.7265822990919289E-2</c:v>
                </c:pt>
                <c:pt idx="39">
                  <c:v>-7.9596630444081107E-2</c:v>
                </c:pt>
                <c:pt idx="40">
                  <c:v>-7.9600607931202536E-2</c:v>
                </c:pt>
                <c:pt idx="41">
                  <c:v>-7.9604585418323978E-2</c:v>
                </c:pt>
                <c:pt idx="42">
                  <c:v>-8.0869426322940793E-2</c:v>
                </c:pt>
                <c:pt idx="43">
                  <c:v>-8.0889313758547965E-2</c:v>
                </c:pt>
                <c:pt idx="44">
                  <c:v>-8.1084210627498363E-2</c:v>
                </c:pt>
                <c:pt idx="45">
                  <c:v>-8.1088188114619791E-2</c:v>
                </c:pt>
                <c:pt idx="46">
                  <c:v>-8.1295017444934503E-2</c:v>
                </c:pt>
                <c:pt idx="47">
                  <c:v>-8.1298994932055932E-2</c:v>
                </c:pt>
                <c:pt idx="48">
                  <c:v>-8.1501846775249201E-2</c:v>
                </c:pt>
                <c:pt idx="49">
                  <c:v>-8.2758732705623145E-2</c:v>
                </c:pt>
                <c:pt idx="50">
                  <c:v>-8.5487288870928602E-2</c:v>
                </c:pt>
                <c:pt idx="51">
                  <c:v>-8.6374268499008935E-2</c:v>
                </c:pt>
                <c:pt idx="52">
                  <c:v>-8.714987848768907E-2</c:v>
                </c:pt>
                <c:pt idx="53">
                  <c:v>-8.7153855974810499E-2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06-4AB7-9258-CDB623354F3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Active!$R$21:$R$964</c:f>
              <c:numCache>
                <c:formatCode>General</c:formatCode>
                <c:ptCount val="944"/>
                <c:pt idx="14">
                  <c:v>-7.2005199996056035E-2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06-4AB7-9258-CDB623354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230672"/>
        <c:axId val="1"/>
      </c:scatterChart>
      <c:valAx>
        <c:axId val="54923067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4036133520119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4129108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230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70453148122235"/>
          <c:y val="0.92168687503019175"/>
          <c:w val="0.77706045225768428"/>
          <c:h val="6.0240890134132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V0961 Cyg - O-C Diagr.</a:t>
            </a:r>
          </a:p>
        </c:rich>
      </c:tx>
      <c:layout>
        <c:manualLayout>
          <c:xMode val="edge"/>
          <c:yMode val="edge"/>
          <c:x val="0.3564516129032258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83870967741935"/>
          <c:y val="0.14414456686540114"/>
          <c:w val="0.74516129032258061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Active!$C$21:$C$1965</c:f>
                <c:numCache>
                  <c:formatCode>General</c:formatCode>
                  <c:ptCount val="1945"/>
                  <c:pt idx="0">
                    <c:v>33487.49</c:v>
                  </c:pt>
                  <c:pt idx="1">
                    <c:v>33534.345000000001</c:v>
                  </c:pt>
                  <c:pt idx="2">
                    <c:v>33538.434999999998</c:v>
                  </c:pt>
                  <c:pt idx="3">
                    <c:v>34133.466</c:v>
                  </c:pt>
                  <c:pt idx="4">
                    <c:v>34237.396999999997</c:v>
                  </c:pt>
                  <c:pt idx="5">
                    <c:v>34239.442999999999</c:v>
                  </c:pt>
                  <c:pt idx="6">
                    <c:v>34239.442999999999</c:v>
                  </c:pt>
                  <c:pt idx="7">
                    <c:v>34987.319000000003</c:v>
                  </c:pt>
                  <c:pt idx="8">
                    <c:v>35044.374000000003</c:v>
                  </c:pt>
                  <c:pt idx="9">
                    <c:v>35162.576000000001</c:v>
                  </c:pt>
                  <c:pt idx="10">
                    <c:v>35317.446000000004</c:v>
                  </c:pt>
                  <c:pt idx="11">
                    <c:v>35370.428</c:v>
                  </c:pt>
                  <c:pt idx="12">
                    <c:v>35374.483999999997</c:v>
                  </c:pt>
                  <c:pt idx="13">
                    <c:v>36819.298999999999</c:v>
                  </c:pt>
                  <c:pt idx="14">
                    <c:v>47664.438000000002</c:v>
                  </c:pt>
                  <c:pt idx="15">
                    <c:v>47668.536999999997</c:v>
                  </c:pt>
                  <c:pt idx="16">
                    <c:v>47719.476999999999</c:v>
                  </c:pt>
                  <c:pt idx="17">
                    <c:v>47769.402000000002</c:v>
                  </c:pt>
                  <c:pt idx="18">
                    <c:v>48850.453999999998</c:v>
                  </c:pt>
                  <c:pt idx="19">
                    <c:v>49925.396099999998</c:v>
                  </c:pt>
                  <c:pt idx="20">
                    <c:v>49928.452299999997</c:v>
                  </c:pt>
                  <c:pt idx="21">
                    <c:v>50152.610399999998</c:v>
                  </c:pt>
                  <c:pt idx="22">
                    <c:v>50153.629800000002</c:v>
                  </c:pt>
                  <c:pt idx="23">
                    <c:v>51379.365299999998</c:v>
                  </c:pt>
                  <c:pt idx="24">
                    <c:v>51758.396979999998</c:v>
                  </c:pt>
                  <c:pt idx="25">
                    <c:v>52031.4614</c:v>
                  </c:pt>
                  <c:pt idx="26">
                    <c:v>52031.4614</c:v>
                  </c:pt>
                  <c:pt idx="27">
                    <c:v>52084.445</c:v>
                  </c:pt>
                  <c:pt idx="28">
                    <c:v>52137.428970000001</c:v>
                  </c:pt>
                  <c:pt idx="29">
                    <c:v>52688.651599999997</c:v>
                  </c:pt>
                  <c:pt idx="30">
                    <c:v>52839.448600000003</c:v>
                  </c:pt>
                  <c:pt idx="31">
                    <c:v>53592.416100000002</c:v>
                  </c:pt>
                  <c:pt idx="32">
                    <c:v>53639.282200000001</c:v>
                  </c:pt>
                  <c:pt idx="33">
                    <c:v>53650.491000000002</c:v>
                  </c:pt>
                  <c:pt idx="34">
                    <c:v>53918.463600000003</c:v>
                  </c:pt>
                  <c:pt idx="35">
                    <c:v>53920.501499999998</c:v>
                  </c:pt>
                  <c:pt idx="36">
                    <c:v>54295.4568</c:v>
                  </c:pt>
                  <c:pt idx="37">
                    <c:v>54298.511500000001</c:v>
                  </c:pt>
                  <c:pt idx="38">
                    <c:v>54397.3462</c:v>
                  </c:pt>
                  <c:pt idx="39">
                    <c:v>54994.421600000001</c:v>
                  </c:pt>
                  <c:pt idx="40">
                    <c:v>54995.441700000003</c:v>
                  </c:pt>
                  <c:pt idx="41">
                    <c:v>54996.460099999997</c:v>
                  </c:pt>
                  <c:pt idx="42">
                    <c:v>55320.469700000001</c:v>
                  </c:pt>
                  <c:pt idx="43">
                    <c:v>55325.564299999998</c:v>
                  </c:pt>
                  <c:pt idx="44">
                    <c:v>55375.490899999997</c:v>
                  </c:pt>
                  <c:pt idx="45">
                    <c:v>55376.509299999998</c:v>
                  </c:pt>
                  <c:pt idx="46">
                    <c:v>55429.494200000001</c:v>
                  </c:pt>
                  <c:pt idx="47">
                    <c:v>55430.5101</c:v>
                  </c:pt>
                  <c:pt idx="48">
                    <c:v>55482.475299999998</c:v>
                  </c:pt>
                  <c:pt idx="49">
                    <c:v>55804.447099999998</c:v>
                  </c:pt>
                  <c:pt idx="50">
                    <c:v>56503.410900000003</c:v>
                  </c:pt>
                  <c:pt idx="51">
                    <c:v>56730.627500000002</c:v>
                  </c:pt>
                  <c:pt idx="52">
                    <c:v>56929.3128</c:v>
                  </c:pt>
                  <c:pt idx="53">
                    <c:v>56930.331400000003</c:v>
                  </c:pt>
                </c:numCache>
              </c:numRef>
            </c:plus>
            <c:minus>
              <c:numRef>
                <c:f>Active!$C$21:$C$1965</c:f>
                <c:numCache>
                  <c:formatCode>General</c:formatCode>
                  <c:ptCount val="1945"/>
                  <c:pt idx="0">
                    <c:v>33487.49</c:v>
                  </c:pt>
                  <c:pt idx="1">
                    <c:v>33534.345000000001</c:v>
                  </c:pt>
                  <c:pt idx="2">
                    <c:v>33538.434999999998</c:v>
                  </c:pt>
                  <c:pt idx="3">
                    <c:v>34133.466</c:v>
                  </c:pt>
                  <c:pt idx="4">
                    <c:v>34237.396999999997</c:v>
                  </c:pt>
                  <c:pt idx="5">
                    <c:v>34239.442999999999</c:v>
                  </c:pt>
                  <c:pt idx="6">
                    <c:v>34239.442999999999</c:v>
                  </c:pt>
                  <c:pt idx="7">
                    <c:v>34987.319000000003</c:v>
                  </c:pt>
                  <c:pt idx="8">
                    <c:v>35044.374000000003</c:v>
                  </c:pt>
                  <c:pt idx="9">
                    <c:v>35162.576000000001</c:v>
                  </c:pt>
                  <c:pt idx="10">
                    <c:v>35317.446000000004</c:v>
                  </c:pt>
                  <c:pt idx="11">
                    <c:v>35370.428</c:v>
                  </c:pt>
                  <c:pt idx="12">
                    <c:v>35374.483999999997</c:v>
                  </c:pt>
                  <c:pt idx="13">
                    <c:v>36819.298999999999</c:v>
                  </c:pt>
                  <c:pt idx="14">
                    <c:v>47664.438000000002</c:v>
                  </c:pt>
                  <c:pt idx="15">
                    <c:v>47668.536999999997</c:v>
                  </c:pt>
                  <c:pt idx="16">
                    <c:v>47719.476999999999</c:v>
                  </c:pt>
                  <c:pt idx="17">
                    <c:v>47769.402000000002</c:v>
                  </c:pt>
                  <c:pt idx="18">
                    <c:v>48850.453999999998</c:v>
                  </c:pt>
                  <c:pt idx="19">
                    <c:v>49925.396099999998</c:v>
                  </c:pt>
                  <c:pt idx="20">
                    <c:v>49928.452299999997</c:v>
                  </c:pt>
                  <c:pt idx="21">
                    <c:v>50152.610399999998</c:v>
                  </c:pt>
                  <c:pt idx="22">
                    <c:v>50153.629800000002</c:v>
                  </c:pt>
                  <c:pt idx="23">
                    <c:v>51379.365299999998</c:v>
                  </c:pt>
                  <c:pt idx="24">
                    <c:v>51758.396979999998</c:v>
                  </c:pt>
                  <c:pt idx="25">
                    <c:v>52031.4614</c:v>
                  </c:pt>
                  <c:pt idx="26">
                    <c:v>52031.4614</c:v>
                  </c:pt>
                  <c:pt idx="27">
                    <c:v>52084.445</c:v>
                  </c:pt>
                  <c:pt idx="28">
                    <c:v>52137.428970000001</c:v>
                  </c:pt>
                  <c:pt idx="29">
                    <c:v>52688.651599999997</c:v>
                  </c:pt>
                  <c:pt idx="30">
                    <c:v>52839.448600000003</c:v>
                  </c:pt>
                  <c:pt idx="31">
                    <c:v>53592.416100000002</c:v>
                  </c:pt>
                  <c:pt idx="32">
                    <c:v>53639.282200000001</c:v>
                  </c:pt>
                  <c:pt idx="33">
                    <c:v>53650.491000000002</c:v>
                  </c:pt>
                  <c:pt idx="34">
                    <c:v>53918.463600000003</c:v>
                  </c:pt>
                  <c:pt idx="35">
                    <c:v>53920.501499999998</c:v>
                  </c:pt>
                  <c:pt idx="36">
                    <c:v>54295.4568</c:v>
                  </c:pt>
                  <c:pt idx="37">
                    <c:v>54298.511500000001</c:v>
                  </c:pt>
                  <c:pt idx="38">
                    <c:v>54397.3462</c:v>
                  </c:pt>
                  <c:pt idx="39">
                    <c:v>54994.421600000001</c:v>
                  </c:pt>
                  <c:pt idx="40">
                    <c:v>54995.441700000003</c:v>
                  </c:pt>
                  <c:pt idx="41">
                    <c:v>54996.460099999997</c:v>
                  </c:pt>
                  <c:pt idx="42">
                    <c:v>55320.469700000001</c:v>
                  </c:pt>
                  <c:pt idx="43">
                    <c:v>55325.564299999998</c:v>
                  </c:pt>
                  <c:pt idx="44">
                    <c:v>55375.490899999997</c:v>
                  </c:pt>
                  <c:pt idx="45">
                    <c:v>55376.509299999998</c:v>
                  </c:pt>
                  <c:pt idx="46">
                    <c:v>55429.494200000001</c:v>
                  </c:pt>
                  <c:pt idx="47">
                    <c:v>55430.5101</c:v>
                  </c:pt>
                  <c:pt idx="48">
                    <c:v>55482.475299999998</c:v>
                  </c:pt>
                  <c:pt idx="49">
                    <c:v>55804.447099999998</c:v>
                  </c:pt>
                  <c:pt idx="50">
                    <c:v>56503.410900000003</c:v>
                  </c:pt>
                  <c:pt idx="51">
                    <c:v>56730.627500000002</c:v>
                  </c:pt>
                  <c:pt idx="52">
                    <c:v>56929.3128</c:v>
                  </c:pt>
                  <c:pt idx="53">
                    <c:v>56930.331400000003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6">
                  <c:v>4.1932000021915883E-3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6A-42EB-9003-8D137E53CB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3">
                    <c:v>2E-3</c:v>
                  </c:pt>
                  <c:pt idx="24">
                    <c:v>3.3E-3</c:v>
                  </c:pt>
                  <c:pt idx="25">
                    <c:v>7.1000000000000004E-3</c:v>
                  </c:pt>
                  <c:pt idx="26">
                    <c:v>7.1000000000000004E-3</c:v>
                  </c:pt>
                  <c:pt idx="27">
                    <c:v>0</c:v>
                  </c:pt>
                  <c:pt idx="28">
                    <c:v>3.3999999999999998E-3</c:v>
                  </c:pt>
                  <c:pt idx="29">
                    <c:v>1E-4</c:v>
                  </c:pt>
                  <c:pt idx="30">
                    <c:v>1.1000000000000001E-3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8.0000000000000004E-4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2.8999999999999998E-3</c:v>
                  </c:pt>
                  <c:pt idx="48">
                    <c:v>4.0000000000000002E-4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1E-3</c:v>
                  </c:pt>
                  <c:pt idx="53">
                    <c:v>1.8E-3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3">
                    <c:v>2E-3</c:v>
                  </c:pt>
                  <c:pt idx="24">
                    <c:v>3.3E-3</c:v>
                  </c:pt>
                  <c:pt idx="25">
                    <c:v>7.1000000000000004E-3</c:v>
                  </c:pt>
                  <c:pt idx="26">
                    <c:v>7.1000000000000004E-3</c:v>
                  </c:pt>
                  <c:pt idx="27">
                    <c:v>0</c:v>
                  </c:pt>
                  <c:pt idx="28">
                    <c:v>3.3999999999999998E-3</c:v>
                  </c:pt>
                  <c:pt idx="29">
                    <c:v>1E-4</c:v>
                  </c:pt>
                  <c:pt idx="30">
                    <c:v>1.1000000000000001E-3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8.0000000000000004E-4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2.8999999999999998E-3</c:v>
                  </c:pt>
                  <c:pt idx="48">
                    <c:v>4.0000000000000002E-4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1E-3</c:v>
                  </c:pt>
                  <c:pt idx="5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0">
                  <c:v>1.9023999993805774E-3</c:v>
                </c:pt>
                <c:pt idx="1">
                  <c:v>-1.265399999829242E-2</c:v>
                </c:pt>
                <c:pt idx="2">
                  <c:v>1.7324000000371598E-3</c:v>
                </c:pt>
                <c:pt idx="3">
                  <c:v>-6.8532000004779547E-3</c:v>
                </c:pt>
                <c:pt idx="4">
                  <c:v>-4.0000000008149073E-3</c:v>
                </c:pt>
                <c:pt idx="5">
                  <c:v>4.1932000021915883E-3</c:v>
                </c:pt>
                <c:pt idx="7">
                  <c:v>5.0976000056834891E-3</c:v>
                </c:pt>
                <c:pt idx="8">
                  <c:v>1.5072000023792498E-3</c:v>
                </c:pt>
                <c:pt idx="9">
                  <c:v>1.0712800001783762E-2</c:v>
                </c:pt>
                <c:pt idx="10">
                  <c:v>7.3960000081569888E-3</c:v>
                </c:pt>
                <c:pt idx="11">
                  <c:v>6.419199999072589E-3</c:v>
                </c:pt>
                <c:pt idx="12">
                  <c:v>-1.3194400002248585E-2</c:v>
                </c:pt>
                <c:pt idx="13">
                  <c:v>-3.215600001567509E-3</c:v>
                </c:pt>
                <c:pt idx="15">
                  <c:v>-4.8618799999530893E-2</c:v>
                </c:pt>
                <c:pt idx="16">
                  <c:v>-5.3788799996254966E-2</c:v>
                </c:pt>
                <c:pt idx="17">
                  <c:v>-5.5055399992852472E-2</c:v>
                </c:pt>
                <c:pt idx="18">
                  <c:v>-5.9562800001003779E-2</c:v>
                </c:pt>
                <c:pt idx="27">
                  <c:v>-6.7954399994050618E-2</c:v>
                </c:pt>
                <c:pt idx="37">
                  <c:v>-7.8542600000218954E-2</c:v>
                </c:pt>
                <c:pt idx="41">
                  <c:v>-7.8771599997708108E-2</c:v>
                </c:pt>
                <c:pt idx="49">
                  <c:v>-8.2167799999297131E-2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6A-42EB-9003-8D137E53CB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21">
                  <c:v>-6.1708000001090113E-2</c:v>
                </c:pt>
                <c:pt idx="22">
                  <c:v>-6.1211399995954707E-2</c:v>
                </c:pt>
                <c:pt idx="30">
                  <c:v>-7.1773799994844012E-2</c:v>
                </c:pt>
                <c:pt idx="31">
                  <c:v>-7.3886399994080421E-2</c:v>
                </c:pt>
                <c:pt idx="32">
                  <c:v>-7.7342799995676614E-2</c:v>
                </c:pt>
                <c:pt idx="33">
                  <c:v>-7.6480199997604359E-2</c:v>
                </c:pt>
                <c:pt idx="35">
                  <c:v>-7.5381199996627402E-2</c:v>
                </c:pt>
                <c:pt idx="36">
                  <c:v>-7.6532399994903244E-2</c:v>
                </c:pt>
                <c:pt idx="44">
                  <c:v>-8.0036399995151442E-2</c:v>
                </c:pt>
                <c:pt idx="45">
                  <c:v>-8.0539800001133699E-2</c:v>
                </c:pt>
                <c:pt idx="46">
                  <c:v>-7.8616599996166769E-2</c:v>
                </c:pt>
                <c:pt idx="47">
                  <c:v>-8.1619999997201376E-2</c:v>
                </c:pt>
                <c:pt idx="51">
                  <c:v>-8.4958399995230138E-2</c:v>
                </c:pt>
                <c:pt idx="52">
                  <c:v>-8.5821399996348191E-2</c:v>
                </c:pt>
                <c:pt idx="53">
                  <c:v>-8.6124799992830958E-2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6A-42EB-9003-8D137E53CB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19">
                  <c:v>-6.054980000044452E-2</c:v>
                </c:pt>
                <c:pt idx="20">
                  <c:v>-6.1059999999997672E-2</c:v>
                </c:pt>
                <c:pt idx="23">
                  <c:v>-6.6501599998446181E-2</c:v>
                </c:pt>
                <c:pt idx="24">
                  <c:v>-6.6886399996292312E-2</c:v>
                </c:pt>
                <c:pt idx="25">
                  <c:v>-6.8577599995478522E-2</c:v>
                </c:pt>
                <c:pt idx="26">
                  <c:v>-6.8577599995478522E-2</c:v>
                </c:pt>
                <c:pt idx="28">
                  <c:v>-6.6961199998331722E-2</c:v>
                </c:pt>
                <c:pt idx="29">
                  <c:v>-7.1070599995437078E-2</c:v>
                </c:pt>
                <c:pt idx="34">
                  <c:v>-7.5474399993254337E-2</c:v>
                </c:pt>
                <c:pt idx="38">
                  <c:v>-7.747239999298472E-2</c:v>
                </c:pt>
                <c:pt idx="39">
                  <c:v>-7.9464799993729685E-2</c:v>
                </c:pt>
                <c:pt idx="40">
                  <c:v>-7.8268199991725851E-2</c:v>
                </c:pt>
                <c:pt idx="42">
                  <c:v>-8.0452799993508961E-2</c:v>
                </c:pt>
                <c:pt idx="43">
                  <c:v>-8.0369799994514324E-2</c:v>
                </c:pt>
                <c:pt idx="48">
                  <c:v>-8.0493399997067172E-2</c:v>
                </c:pt>
                <c:pt idx="50">
                  <c:v>-8.6100199994689319E-2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6A-42EB-9003-8D137E53CB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6A-42EB-9003-8D137E53CB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6A-42EB-9003-8D137E53CB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6A-42EB-9003-8D137E53CB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4.3601677152011048E-3</c:v>
                </c:pt>
                <c:pt idx="1">
                  <c:v>4.1772033076150246E-3</c:v>
                </c:pt>
                <c:pt idx="2">
                  <c:v>4.1612933591292783E-3</c:v>
                </c:pt>
                <c:pt idx="3">
                  <c:v>1.8384408802103471E-3</c:v>
                </c:pt>
                <c:pt idx="4">
                  <c:v>1.4327371938238215E-3</c:v>
                </c:pt>
                <c:pt idx="5">
                  <c:v>1.4247822195809483E-3</c:v>
                </c:pt>
                <c:pt idx="6">
                  <c:v>1.4247822195809483E-3</c:v>
                </c:pt>
                <c:pt idx="7">
                  <c:v>-1.4946933275534623E-3</c:v>
                </c:pt>
                <c:pt idx="8">
                  <c:v>-1.7174326063539077E-3</c:v>
                </c:pt>
                <c:pt idx="9">
                  <c:v>-2.1788211124405448E-3</c:v>
                </c:pt>
                <c:pt idx="10">
                  <c:v>-2.7833991548988964E-3</c:v>
                </c:pt>
                <c:pt idx="11">
                  <c:v>-2.990228485213596E-3</c:v>
                </c:pt>
                <c:pt idx="12">
                  <c:v>-3.0061384336993423E-3</c:v>
                </c:pt>
                <c:pt idx="13">
                  <c:v>-8.6462151718963379E-3</c:v>
                </c:pt>
                <c:pt idx="14">
                  <c:v>-5.0982588092466724E-2</c:v>
                </c:pt>
                <c:pt idx="15">
                  <c:v>-5.0998498040952474E-2</c:v>
                </c:pt>
                <c:pt idx="16">
                  <c:v>-5.11973723970243E-2</c:v>
                </c:pt>
                <c:pt idx="17">
                  <c:v>-5.1392269265974691E-2</c:v>
                </c:pt>
                <c:pt idx="18">
                  <c:v>-5.5612383101818846E-2</c:v>
                </c:pt>
                <c:pt idx="19">
                  <c:v>-5.9808632014934381E-2</c:v>
                </c:pt>
                <c:pt idx="20">
                  <c:v>-5.9820564476298688E-2</c:v>
                </c:pt>
                <c:pt idx="21">
                  <c:v>-6.0695611643014728E-2</c:v>
                </c:pt>
                <c:pt idx="22">
                  <c:v>-6.0699589130136164E-2</c:v>
                </c:pt>
                <c:pt idx="23">
                  <c:v>-6.5484506137224299E-2</c:v>
                </c:pt>
                <c:pt idx="24">
                  <c:v>-6.6964131346398698E-2</c:v>
                </c:pt>
                <c:pt idx="25">
                  <c:v>-6.8030097894943686E-2</c:v>
                </c:pt>
                <c:pt idx="26">
                  <c:v>-6.8030097894943686E-2</c:v>
                </c:pt>
                <c:pt idx="27">
                  <c:v>-6.8236927225258384E-2</c:v>
                </c:pt>
                <c:pt idx="28">
                  <c:v>-6.8443756555573082E-2</c:v>
                </c:pt>
                <c:pt idx="29">
                  <c:v>-7.0595577088270245E-2</c:v>
                </c:pt>
                <c:pt idx="30">
                  <c:v>-7.1184245182242853E-2</c:v>
                </c:pt>
                <c:pt idx="31">
                  <c:v>-7.4123608164984436E-2</c:v>
                </c:pt>
                <c:pt idx="32">
                  <c:v>-7.430657257257052E-2</c:v>
                </c:pt>
                <c:pt idx="33">
                  <c:v>-7.435032493090632E-2</c:v>
                </c:pt>
                <c:pt idx="34">
                  <c:v>-7.5396404043844123E-2</c:v>
                </c:pt>
                <c:pt idx="35">
                  <c:v>-7.5404359018086994E-2</c:v>
                </c:pt>
                <c:pt idx="36">
                  <c:v>-7.686807427877565E-2</c:v>
                </c:pt>
                <c:pt idx="37">
                  <c:v>-7.688000674013995E-2</c:v>
                </c:pt>
                <c:pt idx="38">
                  <c:v>-7.7265822990919289E-2</c:v>
                </c:pt>
                <c:pt idx="39">
                  <c:v>-7.9596630444081107E-2</c:v>
                </c:pt>
                <c:pt idx="40">
                  <c:v>-7.9600607931202536E-2</c:v>
                </c:pt>
                <c:pt idx="41">
                  <c:v>-7.9604585418323978E-2</c:v>
                </c:pt>
                <c:pt idx="42">
                  <c:v>-8.0869426322940793E-2</c:v>
                </c:pt>
                <c:pt idx="43">
                  <c:v>-8.0889313758547965E-2</c:v>
                </c:pt>
                <c:pt idx="44">
                  <c:v>-8.1084210627498363E-2</c:v>
                </c:pt>
                <c:pt idx="45">
                  <c:v>-8.1088188114619791E-2</c:v>
                </c:pt>
                <c:pt idx="46">
                  <c:v>-8.1295017444934503E-2</c:v>
                </c:pt>
                <c:pt idx="47">
                  <c:v>-8.1298994932055932E-2</c:v>
                </c:pt>
                <c:pt idx="48">
                  <c:v>-8.1501846775249201E-2</c:v>
                </c:pt>
                <c:pt idx="49">
                  <c:v>-8.2758732705623145E-2</c:v>
                </c:pt>
                <c:pt idx="50">
                  <c:v>-8.5487288870928602E-2</c:v>
                </c:pt>
                <c:pt idx="51">
                  <c:v>-8.6374268499008935E-2</c:v>
                </c:pt>
                <c:pt idx="52">
                  <c:v>-8.714987848768907E-2</c:v>
                </c:pt>
                <c:pt idx="53">
                  <c:v>-8.7153855974810499E-2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6A-42EB-9003-8D137E53CB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-368</c:v>
                </c:pt>
                <c:pt idx="1">
                  <c:v>-345</c:v>
                </c:pt>
                <c:pt idx="2">
                  <c:v>-343</c:v>
                </c:pt>
                <c:pt idx="3">
                  <c:v>-51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368</c:v>
                </c:pt>
                <c:pt idx="8">
                  <c:v>396</c:v>
                </c:pt>
                <c:pt idx="9">
                  <c:v>454</c:v>
                </c:pt>
                <c:pt idx="10">
                  <c:v>530</c:v>
                </c:pt>
                <c:pt idx="11">
                  <c:v>556</c:v>
                </c:pt>
                <c:pt idx="12">
                  <c:v>558</c:v>
                </c:pt>
                <c:pt idx="13">
                  <c:v>1267</c:v>
                </c:pt>
                <c:pt idx="14">
                  <c:v>6589</c:v>
                </c:pt>
                <c:pt idx="15">
                  <c:v>6591</c:v>
                </c:pt>
                <c:pt idx="16">
                  <c:v>6616</c:v>
                </c:pt>
                <c:pt idx="17">
                  <c:v>6640.5</c:v>
                </c:pt>
                <c:pt idx="18">
                  <c:v>7171</c:v>
                </c:pt>
                <c:pt idx="19">
                  <c:v>7698.5</c:v>
                </c:pt>
                <c:pt idx="20">
                  <c:v>7700</c:v>
                </c:pt>
                <c:pt idx="21">
                  <c:v>7810</c:v>
                </c:pt>
                <c:pt idx="22">
                  <c:v>7810.5</c:v>
                </c:pt>
                <c:pt idx="23">
                  <c:v>8412</c:v>
                </c:pt>
                <c:pt idx="24">
                  <c:v>8598</c:v>
                </c:pt>
                <c:pt idx="25">
                  <c:v>8732</c:v>
                </c:pt>
                <c:pt idx="26">
                  <c:v>8732</c:v>
                </c:pt>
                <c:pt idx="27">
                  <c:v>8758</c:v>
                </c:pt>
                <c:pt idx="28">
                  <c:v>8784</c:v>
                </c:pt>
                <c:pt idx="29">
                  <c:v>9054.5</c:v>
                </c:pt>
                <c:pt idx="30">
                  <c:v>9128.5</c:v>
                </c:pt>
                <c:pt idx="31">
                  <c:v>9498</c:v>
                </c:pt>
                <c:pt idx="32">
                  <c:v>9521</c:v>
                </c:pt>
                <c:pt idx="33">
                  <c:v>9526.5</c:v>
                </c:pt>
                <c:pt idx="34">
                  <c:v>9658</c:v>
                </c:pt>
                <c:pt idx="35">
                  <c:v>9659</c:v>
                </c:pt>
                <c:pt idx="36">
                  <c:v>9843</c:v>
                </c:pt>
                <c:pt idx="37">
                  <c:v>9844.5</c:v>
                </c:pt>
                <c:pt idx="38">
                  <c:v>9893</c:v>
                </c:pt>
                <c:pt idx="39">
                  <c:v>10186</c:v>
                </c:pt>
                <c:pt idx="40">
                  <c:v>10186.5</c:v>
                </c:pt>
                <c:pt idx="41">
                  <c:v>10187</c:v>
                </c:pt>
                <c:pt idx="42">
                  <c:v>10346</c:v>
                </c:pt>
                <c:pt idx="43">
                  <c:v>10348.5</c:v>
                </c:pt>
                <c:pt idx="44">
                  <c:v>10373</c:v>
                </c:pt>
                <c:pt idx="45">
                  <c:v>10373.5</c:v>
                </c:pt>
                <c:pt idx="46">
                  <c:v>10399.5</c:v>
                </c:pt>
                <c:pt idx="47">
                  <c:v>10400</c:v>
                </c:pt>
                <c:pt idx="48">
                  <c:v>10425.5</c:v>
                </c:pt>
                <c:pt idx="49">
                  <c:v>10583.5</c:v>
                </c:pt>
                <c:pt idx="50">
                  <c:v>10926.5</c:v>
                </c:pt>
                <c:pt idx="51">
                  <c:v>11038</c:v>
                </c:pt>
                <c:pt idx="52">
                  <c:v>11135.5</c:v>
                </c:pt>
                <c:pt idx="53">
                  <c:v>11136</c:v>
                </c:pt>
              </c:numCache>
            </c:numRef>
          </c:xVal>
          <c:yVal>
            <c:numRef>
              <c:f>Active!$R$21:$R$964</c:f>
              <c:numCache>
                <c:formatCode>General</c:formatCode>
                <c:ptCount val="944"/>
                <c:pt idx="14">
                  <c:v>-7.2005199996056035E-2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6A-42EB-9003-8D137E53C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229232"/>
        <c:axId val="1"/>
      </c:scatterChart>
      <c:valAx>
        <c:axId val="54922923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45161290322576"/>
              <c:y val="0.84084342668175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6158668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22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32258064516128"/>
          <c:y val="0.92192475940507435"/>
          <c:w val="0.77580645161290318"/>
          <c:h val="6.0060519957941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28575</xdr:rowOff>
    </xdr:from>
    <xdr:to>
      <xdr:col>17</xdr:col>
      <xdr:colOff>352425</xdr:colOff>
      <xdr:row>18</xdr:row>
      <xdr:rowOff>66675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2A25699-AB06-14B8-D804-CD0CAF06D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0</xdr:rowOff>
    </xdr:from>
    <xdr:to>
      <xdr:col>27</xdr:col>
      <xdr:colOff>123825</xdr:colOff>
      <xdr:row>18</xdr:row>
      <xdr:rowOff>47625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F50A5CD1-ADB7-9CE2-1973-7D68FE963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9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193" TargetMode="External"/><Relationship Id="rId7" Type="http://schemas.openxmlformats.org/officeDocument/2006/relationships/hyperlink" Target="http://www.konkoly.hu/cgi-bin/IBVS?4278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12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konkoly.hu/cgi-bin/IBVS?5713" TargetMode="External"/><Relationship Id="rId20" Type="http://schemas.openxmlformats.org/officeDocument/2006/relationships/hyperlink" Target="http://www.konkoly.hu/cgi-bin/IBVS?5837" TargetMode="External"/><Relationship Id="rId29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konkoly.hu/cgi-bin/IBVS?427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933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93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konkoly.hu/cgi-bin/IBVS?5676" TargetMode="External"/><Relationship Id="rId22" Type="http://schemas.openxmlformats.org/officeDocument/2006/relationships/hyperlink" Target="http://www.konkoly.hu/cgi-bin/IBVS?5835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55</v>
      </c>
    </row>
    <row r="2" spans="1:6">
      <c r="A2" t="s">
        <v>23</v>
      </c>
      <c r="B2" s="7" t="s">
        <v>29</v>
      </c>
    </row>
    <row r="3" spans="1:6" ht="13.5" thickBot="1"/>
    <row r="4" spans="1:6" ht="13.5" thickBot="1">
      <c r="A4" s="4" t="s">
        <v>0</v>
      </c>
      <c r="C4" s="8">
        <v>34237.400999999998</v>
      </c>
      <c r="D4" s="9">
        <v>2.0378067999999998</v>
      </c>
    </row>
    <row r="5" spans="1:6">
      <c r="A5" s="19" t="s">
        <v>40</v>
      </c>
      <c r="B5" s="15"/>
      <c r="C5" s="20">
        <v>-9.5</v>
      </c>
      <c r="D5" s="15" t="s">
        <v>41</v>
      </c>
    </row>
    <row r="6" spans="1:6">
      <c r="A6" s="4" t="s">
        <v>1</v>
      </c>
    </row>
    <row r="7" spans="1:6">
      <c r="A7" t="s">
        <v>2</v>
      </c>
      <c r="C7">
        <f>+C4</f>
        <v>34237.400999999998</v>
      </c>
    </row>
    <row r="8" spans="1:6">
      <c r="A8" t="s">
        <v>3</v>
      </c>
      <c r="C8">
        <f>+D4</f>
        <v>2.0378067999999998</v>
      </c>
    </row>
    <row r="9" spans="1:6">
      <c r="A9" s="31" t="s">
        <v>46</v>
      </c>
      <c r="B9" s="32">
        <v>21</v>
      </c>
      <c r="C9" s="29" t="str">
        <f>"F"&amp;B9</f>
        <v>F21</v>
      </c>
      <c r="D9" s="30" t="str">
        <f>"G"&amp;B9</f>
        <v>G21</v>
      </c>
    </row>
    <row r="10" spans="1:6" ht="13.5" thickBot="1">
      <c r="A10" s="15"/>
      <c r="B10" s="15"/>
      <c r="C10" s="3" t="s">
        <v>19</v>
      </c>
      <c r="D10" s="3" t="s">
        <v>20</v>
      </c>
      <c r="E10" s="15"/>
    </row>
    <row r="11" spans="1:6">
      <c r="A11" s="15" t="s">
        <v>15</v>
      </c>
      <c r="B11" s="15"/>
      <c r="C11" s="17">
        <f ca="1">INTERCEPT(INDIRECT($D$9):G988,INDIRECT($C$9):F988)</f>
        <v>1.4327371938238215E-3</v>
      </c>
      <c r="D11" s="16"/>
      <c r="E11" s="15"/>
    </row>
    <row r="12" spans="1:6">
      <c r="A12" s="15" t="s">
        <v>16</v>
      </c>
      <c r="B12" s="15"/>
      <c r="C12" s="17">
        <f ca="1">SLOPE(INDIRECT($D$9):G988,INDIRECT($C$9):F988)</f>
        <v>-7.9549742428730534E-6</v>
      </c>
      <c r="D12" s="16"/>
      <c r="E12" s="15"/>
    </row>
    <row r="13" spans="1:6">
      <c r="A13" s="15" t="s">
        <v>18</v>
      </c>
      <c r="B13" s="15"/>
      <c r="C13" s="16" t="s">
        <v>27</v>
      </c>
    </row>
    <row r="14" spans="1:6">
      <c r="A14" s="15"/>
      <c r="B14" s="15"/>
      <c r="C14" s="15"/>
    </row>
    <row r="15" spans="1:6">
      <c r="A15" s="21" t="s">
        <v>17</v>
      </c>
      <c r="B15" s="15"/>
      <c r="C15" s="18">
        <f ca="1">(C7+C11)+(C8+C12)*INT(MAX(F21:F3529))</f>
        <v>56930.330370944022</v>
      </c>
      <c r="E15" s="22" t="s">
        <v>50</v>
      </c>
      <c r="F15" s="20">
        <v>1</v>
      </c>
    </row>
    <row r="16" spans="1:6">
      <c r="A16" s="24" t="s">
        <v>4</v>
      </c>
      <c r="B16" s="15"/>
      <c r="C16" s="25">
        <f ca="1">+C8+C12</f>
        <v>2.0377988450257569</v>
      </c>
      <c r="E16" s="22" t="s">
        <v>42</v>
      </c>
      <c r="F16" s="23">
        <f ca="1">NOW()+15018.5+$C$5/24</f>
        <v>60344.681357523143</v>
      </c>
    </row>
    <row r="17" spans="1:18" ht="13.5" thickBot="1">
      <c r="A17" s="22" t="s">
        <v>37</v>
      </c>
      <c r="B17" s="15"/>
      <c r="C17" s="15">
        <f>COUNT(C21:C2187)</f>
        <v>54</v>
      </c>
      <c r="E17" s="22" t="s">
        <v>51</v>
      </c>
      <c r="F17" s="23">
        <f ca="1">ROUND(2*(F16-$C$7)/$C$8,0)/2+F15</f>
        <v>12812.5</v>
      </c>
    </row>
    <row r="18" spans="1:18" ht="14.25" thickTop="1" thickBot="1">
      <c r="A18" s="24" t="s">
        <v>5</v>
      </c>
      <c r="B18" s="15"/>
      <c r="C18" s="27">
        <f ca="1">+C15</f>
        <v>56930.330370944022</v>
      </c>
      <c r="D18" s="28">
        <f ca="1">+C16</f>
        <v>2.0377988450257569</v>
      </c>
      <c r="E18" s="22" t="s">
        <v>43</v>
      </c>
      <c r="F18" s="30">
        <f ca="1">ROUND(2*(F16-$C$15)/$C$16,0)/2+F15</f>
        <v>1676.5</v>
      </c>
    </row>
    <row r="19" spans="1:18" ht="13.5" thickTop="1">
      <c r="E19" s="22" t="s">
        <v>44</v>
      </c>
      <c r="F19" s="26">
        <f ca="1">+$C$15+$C$16*F18-15018.5-$C$5/24</f>
        <v>45328.59596796304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65</v>
      </c>
      <c r="I20" s="6" t="s">
        <v>68</v>
      </c>
      <c r="J20" s="6" t="s">
        <v>62</v>
      </c>
      <c r="K20" s="6" t="s">
        <v>60</v>
      </c>
      <c r="L20" s="6" t="s">
        <v>24</v>
      </c>
      <c r="M20" s="6" t="s">
        <v>25</v>
      </c>
      <c r="N20" s="6" t="s">
        <v>28</v>
      </c>
      <c r="O20" s="6" t="s">
        <v>22</v>
      </c>
      <c r="P20" s="5" t="s">
        <v>21</v>
      </c>
      <c r="Q20" s="3" t="s">
        <v>14</v>
      </c>
      <c r="R20" s="47" t="s">
        <v>54</v>
      </c>
    </row>
    <row r="21" spans="1:18">
      <c r="A21" s="62" t="s">
        <v>76</v>
      </c>
      <c r="B21" s="63" t="s">
        <v>26</v>
      </c>
      <c r="C21" s="62">
        <v>33487.49</v>
      </c>
      <c r="D21" s="62" t="s">
        <v>68</v>
      </c>
      <c r="E21">
        <f t="shared" ref="E21:E52" si="0">+(C21-C$7)/C$8</f>
        <v>-367.99906644731982</v>
      </c>
      <c r="F21">
        <f t="shared" ref="F21:F52" si="1">ROUND(2*E21,0)/2</f>
        <v>-368</v>
      </c>
      <c r="G21">
        <f t="shared" ref="G21:G34" si="2">+C21-(C$7+F21*C$8)</f>
        <v>1.9023999993805774E-3</v>
      </c>
      <c r="I21">
        <f t="shared" ref="I21:I26" si="3">+G21</f>
        <v>1.9023999993805774E-3</v>
      </c>
      <c r="O21">
        <f t="shared" ref="O21:O52" ca="1" si="4">+C$11+C$12*$F21</f>
        <v>4.3601677152011048E-3</v>
      </c>
      <c r="Q21" s="2">
        <f t="shared" ref="Q21:Q52" si="5">+C21-15018.5</f>
        <v>18468.989999999998</v>
      </c>
    </row>
    <row r="22" spans="1:18">
      <c r="A22" s="62" t="s">
        <v>76</v>
      </c>
      <c r="B22" s="63" t="s">
        <v>26</v>
      </c>
      <c r="C22" s="62">
        <v>33534.345000000001</v>
      </c>
      <c r="D22" s="62" t="s">
        <v>68</v>
      </c>
      <c r="E22">
        <f t="shared" si="0"/>
        <v>-345.00620961712218</v>
      </c>
      <c r="F22">
        <f t="shared" si="1"/>
        <v>-345</v>
      </c>
      <c r="G22">
        <f t="shared" si="2"/>
        <v>-1.265399999829242E-2</v>
      </c>
      <c r="I22">
        <f t="shared" si="3"/>
        <v>-1.265399999829242E-2</v>
      </c>
      <c r="O22">
        <f t="shared" ca="1" si="4"/>
        <v>4.1772033076150246E-3</v>
      </c>
      <c r="Q22" s="2">
        <f t="shared" si="5"/>
        <v>18515.845000000001</v>
      </c>
    </row>
    <row r="23" spans="1:18">
      <c r="A23" s="62" t="s">
        <v>76</v>
      </c>
      <c r="B23" s="63" t="s">
        <v>26</v>
      </c>
      <c r="C23" s="62">
        <v>33538.434999999998</v>
      </c>
      <c r="D23" s="62" t="s">
        <v>68</v>
      </c>
      <c r="E23">
        <f t="shared" si="0"/>
        <v>-342.99914987034123</v>
      </c>
      <c r="F23">
        <f t="shared" si="1"/>
        <v>-343</v>
      </c>
      <c r="G23">
        <f t="shared" si="2"/>
        <v>1.7324000000371598E-3</v>
      </c>
      <c r="I23">
        <f t="shared" si="3"/>
        <v>1.7324000000371598E-3</v>
      </c>
      <c r="O23">
        <f t="shared" ca="1" si="4"/>
        <v>4.1612933591292783E-3</v>
      </c>
      <c r="Q23" s="2">
        <f t="shared" si="5"/>
        <v>18519.934999999998</v>
      </c>
    </row>
    <row r="24" spans="1:18">
      <c r="A24" s="62" t="s">
        <v>76</v>
      </c>
      <c r="B24" s="63" t="s">
        <v>26</v>
      </c>
      <c r="C24" s="62">
        <v>34133.466</v>
      </c>
      <c r="D24" s="62" t="s">
        <v>68</v>
      </c>
      <c r="E24">
        <f t="shared" si="0"/>
        <v>-51.003363027347675</v>
      </c>
      <c r="F24">
        <f t="shared" si="1"/>
        <v>-51</v>
      </c>
      <c r="G24">
        <f t="shared" si="2"/>
        <v>-6.8532000004779547E-3</v>
      </c>
      <c r="I24">
        <f t="shared" si="3"/>
        <v>-6.8532000004779547E-3</v>
      </c>
      <c r="O24">
        <f t="shared" ca="1" si="4"/>
        <v>1.8384408802103471E-3</v>
      </c>
      <c r="Q24" s="2">
        <f t="shared" si="5"/>
        <v>19114.966</v>
      </c>
    </row>
    <row r="25" spans="1:18">
      <c r="A25" s="62" t="s">
        <v>76</v>
      </c>
      <c r="B25" s="63" t="s">
        <v>26</v>
      </c>
      <c r="C25" s="62">
        <v>34237.396999999997</v>
      </c>
      <c r="D25" s="62" t="s">
        <v>68</v>
      </c>
      <c r="E25">
        <f t="shared" si="0"/>
        <v>-1.9628946182802549E-3</v>
      </c>
      <c r="F25">
        <f t="shared" si="1"/>
        <v>0</v>
      </c>
      <c r="G25">
        <f t="shared" si="2"/>
        <v>-4.0000000008149073E-3</v>
      </c>
      <c r="I25">
        <f t="shared" si="3"/>
        <v>-4.0000000008149073E-3</v>
      </c>
      <c r="O25">
        <f t="shared" ca="1" si="4"/>
        <v>1.4327371938238215E-3</v>
      </c>
      <c r="Q25" s="2">
        <f t="shared" si="5"/>
        <v>19218.896999999997</v>
      </c>
    </row>
    <row r="26" spans="1:18">
      <c r="A26" s="62" t="s">
        <v>76</v>
      </c>
      <c r="B26" s="63" t="s">
        <v>26</v>
      </c>
      <c r="C26" s="62">
        <v>34239.442999999999</v>
      </c>
      <c r="D26" s="62" t="s">
        <v>68</v>
      </c>
      <c r="E26">
        <f t="shared" si="0"/>
        <v>1.0020577024285524</v>
      </c>
      <c r="F26">
        <f t="shared" si="1"/>
        <v>1</v>
      </c>
      <c r="G26">
        <f t="shared" si="2"/>
        <v>4.1932000021915883E-3</v>
      </c>
      <c r="I26">
        <f t="shared" si="3"/>
        <v>4.1932000021915883E-3</v>
      </c>
      <c r="O26">
        <f t="shared" ca="1" si="4"/>
        <v>1.4247822195809483E-3</v>
      </c>
      <c r="Q26" s="2">
        <f t="shared" si="5"/>
        <v>19220.942999999999</v>
      </c>
    </row>
    <row r="27" spans="1:18">
      <c r="A27" s="10" t="s">
        <v>12</v>
      </c>
      <c r="B27" s="11" t="s">
        <v>26</v>
      </c>
      <c r="C27" s="10">
        <v>34239.442999999999</v>
      </c>
      <c r="D27" s="10" t="s">
        <v>27</v>
      </c>
      <c r="E27">
        <f t="shared" si="0"/>
        <v>1.0020577024285524</v>
      </c>
      <c r="F27">
        <f t="shared" si="1"/>
        <v>1</v>
      </c>
      <c r="G27">
        <f t="shared" si="2"/>
        <v>4.1932000021915883E-3</v>
      </c>
      <c r="H27">
        <f>+G27</f>
        <v>4.1932000021915883E-3</v>
      </c>
      <c r="O27">
        <f t="shared" ca="1" si="4"/>
        <v>1.4247822195809483E-3</v>
      </c>
      <c r="Q27" s="2">
        <f t="shared" si="5"/>
        <v>19220.942999999999</v>
      </c>
    </row>
    <row r="28" spans="1:18">
      <c r="A28" s="62" t="s">
        <v>76</v>
      </c>
      <c r="B28" s="63" t="s">
        <v>26</v>
      </c>
      <c r="C28" s="62">
        <v>34987.319000000003</v>
      </c>
      <c r="D28" s="62" t="s">
        <v>68</v>
      </c>
      <c r="E28">
        <f t="shared" si="0"/>
        <v>368.00250151290356</v>
      </c>
      <c r="F28">
        <f t="shared" si="1"/>
        <v>368</v>
      </c>
      <c r="G28">
        <f t="shared" si="2"/>
        <v>5.0976000056834891E-3</v>
      </c>
      <c r="I28">
        <f t="shared" ref="I28:I34" si="6">+G28</f>
        <v>5.0976000056834891E-3</v>
      </c>
      <c r="O28">
        <f t="shared" ca="1" si="4"/>
        <v>-1.4946933275534623E-3</v>
      </c>
      <c r="Q28" s="2">
        <f t="shared" si="5"/>
        <v>19968.819000000003</v>
      </c>
    </row>
    <row r="29" spans="1:18">
      <c r="A29" s="62" t="s">
        <v>76</v>
      </c>
      <c r="B29" s="63" t="s">
        <v>26</v>
      </c>
      <c r="C29" s="62">
        <v>35044.374000000003</v>
      </c>
      <c r="D29" s="62" t="s">
        <v>68</v>
      </c>
      <c r="E29">
        <f t="shared" si="0"/>
        <v>396.00073961869469</v>
      </c>
      <c r="F29">
        <f t="shared" si="1"/>
        <v>396</v>
      </c>
      <c r="G29">
        <f t="shared" si="2"/>
        <v>1.5072000023792498E-3</v>
      </c>
      <c r="I29">
        <f t="shared" si="6"/>
        <v>1.5072000023792498E-3</v>
      </c>
      <c r="O29">
        <f t="shared" ca="1" si="4"/>
        <v>-1.7174326063539077E-3</v>
      </c>
      <c r="Q29" s="2">
        <f t="shared" si="5"/>
        <v>20025.874000000003</v>
      </c>
    </row>
    <row r="30" spans="1:18">
      <c r="A30" s="62" t="s">
        <v>76</v>
      </c>
      <c r="B30" s="63" t="s">
        <v>26</v>
      </c>
      <c r="C30" s="62">
        <v>35162.576000000001</v>
      </c>
      <c r="D30" s="62" t="s">
        <v>68</v>
      </c>
      <c r="E30">
        <f t="shared" si="0"/>
        <v>454.0052570243671</v>
      </c>
      <c r="F30">
        <f t="shared" si="1"/>
        <v>454</v>
      </c>
      <c r="G30">
        <f t="shared" si="2"/>
        <v>1.0712800001783762E-2</v>
      </c>
      <c r="I30">
        <f t="shared" si="6"/>
        <v>1.0712800001783762E-2</v>
      </c>
      <c r="O30">
        <f t="shared" ca="1" si="4"/>
        <v>-2.1788211124405448E-3</v>
      </c>
      <c r="Q30" s="2">
        <f t="shared" si="5"/>
        <v>20144.076000000001</v>
      </c>
    </row>
    <row r="31" spans="1:18">
      <c r="A31" s="62" t="s">
        <v>76</v>
      </c>
      <c r="B31" s="63" t="s">
        <v>26</v>
      </c>
      <c r="C31" s="62">
        <v>35317.446000000004</v>
      </c>
      <c r="D31" s="62" t="s">
        <v>68</v>
      </c>
      <c r="E31">
        <f t="shared" si="0"/>
        <v>530.0036293921512</v>
      </c>
      <c r="F31">
        <f t="shared" si="1"/>
        <v>530</v>
      </c>
      <c r="G31">
        <f t="shared" si="2"/>
        <v>7.3960000081569888E-3</v>
      </c>
      <c r="I31">
        <f t="shared" si="6"/>
        <v>7.3960000081569888E-3</v>
      </c>
      <c r="O31">
        <f t="shared" ca="1" si="4"/>
        <v>-2.7833991548988964E-3</v>
      </c>
      <c r="Q31" s="2">
        <f t="shared" si="5"/>
        <v>20298.946000000004</v>
      </c>
    </row>
    <row r="32" spans="1:18">
      <c r="A32" s="62" t="s">
        <v>76</v>
      </c>
      <c r="B32" s="63" t="s">
        <v>26</v>
      </c>
      <c r="C32" s="62">
        <v>35370.428</v>
      </c>
      <c r="D32" s="62" t="s">
        <v>68</v>
      </c>
      <c r="E32">
        <f t="shared" si="0"/>
        <v>556.00315005328378</v>
      </c>
      <c r="F32">
        <f t="shared" si="1"/>
        <v>556</v>
      </c>
      <c r="G32">
        <f t="shared" si="2"/>
        <v>6.419199999072589E-3</v>
      </c>
      <c r="I32">
        <f t="shared" si="6"/>
        <v>6.419199999072589E-3</v>
      </c>
      <c r="O32">
        <f t="shared" ca="1" si="4"/>
        <v>-2.990228485213596E-3</v>
      </c>
      <c r="Q32" s="2">
        <f t="shared" si="5"/>
        <v>20351.928</v>
      </c>
    </row>
    <row r="33" spans="1:18">
      <c r="A33" s="62" t="s">
        <v>76</v>
      </c>
      <c r="B33" s="63" t="s">
        <v>26</v>
      </c>
      <c r="C33" s="62">
        <v>35374.483999999997</v>
      </c>
      <c r="D33" s="62" t="s">
        <v>68</v>
      </c>
      <c r="E33">
        <f t="shared" si="0"/>
        <v>557.99352519581294</v>
      </c>
      <c r="F33">
        <f t="shared" si="1"/>
        <v>558</v>
      </c>
      <c r="G33">
        <f t="shared" si="2"/>
        <v>-1.3194400002248585E-2</v>
      </c>
      <c r="I33">
        <f t="shared" si="6"/>
        <v>-1.3194400002248585E-2</v>
      </c>
      <c r="O33">
        <f t="shared" ca="1" si="4"/>
        <v>-3.0061384336993423E-3</v>
      </c>
      <c r="Q33" s="2">
        <f t="shared" si="5"/>
        <v>20355.983999999997</v>
      </c>
    </row>
    <row r="34" spans="1:18">
      <c r="A34" s="62" t="s">
        <v>76</v>
      </c>
      <c r="B34" s="63" t="s">
        <v>26</v>
      </c>
      <c r="C34" s="62">
        <v>36819.298999999999</v>
      </c>
      <c r="D34" s="62" t="s">
        <v>68</v>
      </c>
      <c r="E34">
        <f t="shared" si="0"/>
        <v>1266.9984220290173</v>
      </c>
      <c r="F34">
        <f t="shared" si="1"/>
        <v>1267</v>
      </c>
      <c r="G34">
        <f t="shared" si="2"/>
        <v>-3.215600001567509E-3</v>
      </c>
      <c r="I34">
        <f t="shared" si="6"/>
        <v>-3.215600001567509E-3</v>
      </c>
      <c r="O34">
        <f t="shared" ca="1" si="4"/>
        <v>-8.6462151718963379E-3</v>
      </c>
      <c r="Q34" s="2">
        <f t="shared" si="5"/>
        <v>21800.798999999999</v>
      </c>
    </row>
    <row r="35" spans="1:18">
      <c r="A35" s="62" t="s">
        <v>113</v>
      </c>
      <c r="B35" s="63" t="s">
        <v>26</v>
      </c>
      <c r="C35" s="62">
        <v>47664.438000000002</v>
      </c>
      <c r="D35" s="62" t="s">
        <v>68</v>
      </c>
      <c r="E35">
        <f t="shared" si="0"/>
        <v>6588.9646653451173</v>
      </c>
      <c r="F35">
        <f t="shared" si="1"/>
        <v>6589</v>
      </c>
      <c r="O35">
        <f t="shared" ca="1" si="4"/>
        <v>-5.0982588092466724E-2</v>
      </c>
      <c r="Q35" s="2">
        <f t="shared" si="5"/>
        <v>32645.938000000002</v>
      </c>
      <c r="R35">
        <f>+C35-(C$7+F35*C$8)</f>
        <v>-7.2005199996056035E-2</v>
      </c>
    </row>
    <row r="36" spans="1:18">
      <c r="A36" s="62" t="s">
        <v>117</v>
      </c>
      <c r="B36" s="63" t="s">
        <v>26</v>
      </c>
      <c r="C36" s="62">
        <v>47668.536999999997</v>
      </c>
      <c r="D36" s="62" t="s">
        <v>68</v>
      </c>
      <c r="E36">
        <f t="shared" si="0"/>
        <v>6590.9761416047877</v>
      </c>
      <c r="F36">
        <f t="shared" si="1"/>
        <v>6591</v>
      </c>
      <c r="G36">
        <f t="shared" ref="G36:G74" si="7">+C36-(C$7+F36*C$8)</f>
        <v>-4.8618799999530893E-2</v>
      </c>
      <c r="I36">
        <f>+G36</f>
        <v>-4.8618799999530893E-2</v>
      </c>
      <c r="O36">
        <f t="shared" ca="1" si="4"/>
        <v>-5.0998498040952474E-2</v>
      </c>
      <c r="Q36" s="2">
        <f t="shared" si="5"/>
        <v>32650.036999999997</v>
      </c>
    </row>
    <row r="37" spans="1:18">
      <c r="A37" s="62" t="s">
        <v>117</v>
      </c>
      <c r="B37" s="63" t="s">
        <v>26</v>
      </c>
      <c r="C37" s="62">
        <v>47719.476999999999</v>
      </c>
      <c r="D37" s="62" t="s">
        <v>68</v>
      </c>
      <c r="E37">
        <f t="shared" si="0"/>
        <v>6615.9736045634954</v>
      </c>
      <c r="F37">
        <f t="shared" si="1"/>
        <v>6616</v>
      </c>
      <c r="G37">
        <f t="shared" si="7"/>
        <v>-5.3788799996254966E-2</v>
      </c>
      <c r="I37">
        <f>+G37</f>
        <v>-5.3788799996254966E-2</v>
      </c>
      <c r="O37">
        <f t="shared" ca="1" si="4"/>
        <v>-5.11973723970243E-2</v>
      </c>
      <c r="Q37" s="2">
        <f t="shared" si="5"/>
        <v>32700.976999999999</v>
      </c>
    </row>
    <row r="38" spans="1:18">
      <c r="A38" s="62" t="s">
        <v>125</v>
      </c>
      <c r="B38" s="63" t="s">
        <v>31</v>
      </c>
      <c r="C38" s="62">
        <v>47769.402000000002</v>
      </c>
      <c r="D38" s="62" t="s">
        <v>68</v>
      </c>
      <c r="E38">
        <f t="shared" si="0"/>
        <v>6640.4729830129163</v>
      </c>
      <c r="F38">
        <f t="shared" si="1"/>
        <v>6640.5</v>
      </c>
      <c r="G38">
        <f t="shared" si="7"/>
        <v>-5.5055399992852472E-2</v>
      </c>
      <c r="I38">
        <f>+G38</f>
        <v>-5.5055399992852472E-2</v>
      </c>
      <c r="O38">
        <f t="shared" ca="1" si="4"/>
        <v>-5.1392269265974691E-2</v>
      </c>
      <c r="Q38" s="2">
        <f t="shared" si="5"/>
        <v>32750.902000000002</v>
      </c>
    </row>
    <row r="39" spans="1:18">
      <c r="A39" s="62" t="s">
        <v>130</v>
      </c>
      <c r="B39" s="63" t="s">
        <v>26</v>
      </c>
      <c r="C39" s="62">
        <v>48850.453999999998</v>
      </c>
      <c r="D39" s="62" t="s">
        <v>68</v>
      </c>
      <c r="E39">
        <f t="shared" si="0"/>
        <v>7170.970771125114</v>
      </c>
      <c r="F39">
        <f t="shared" si="1"/>
        <v>7171</v>
      </c>
      <c r="G39">
        <f t="shared" si="7"/>
        <v>-5.9562800001003779E-2</v>
      </c>
      <c r="I39">
        <f>+G39</f>
        <v>-5.9562800001003779E-2</v>
      </c>
      <c r="O39">
        <f t="shared" ca="1" si="4"/>
        <v>-5.5612383101818846E-2</v>
      </c>
      <c r="Q39" s="2">
        <f t="shared" si="5"/>
        <v>33831.953999999998</v>
      </c>
    </row>
    <row r="40" spans="1:18">
      <c r="A40" s="12" t="s">
        <v>35</v>
      </c>
      <c r="B40" s="13" t="s">
        <v>31</v>
      </c>
      <c r="C40" s="12">
        <v>49925.396099999998</v>
      </c>
      <c r="D40" s="12">
        <v>5.0000000000000001E-4</v>
      </c>
      <c r="E40">
        <f t="shared" si="0"/>
        <v>7698.4702867808674</v>
      </c>
      <c r="F40">
        <f t="shared" si="1"/>
        <v>7698.5</v>
      </c>
      <c r="G40">
        <f t="shared" si="7"/>
        <v>-6.054980000044452E-2</v>
      </c>
      <c r="K40">
        <f>+G40</f>
        <v>-6.054980000044452E-2</v>
      </c>
      <c r="O40">
        <f t="shared" ca="1" si="4"/>
        <v>-5.9808632014934381E-2</v>
      </c>
      <c r="Q40" s="2">
        <f t="shared" si="5"/>
        <v>34906.896099999998</v>
      </c>
    </row>
    <row r="41" spans="1:18">
      <c r="A41" s="12" t="s">
        <v>35</v>
      </c>
      <c r="B41" s="13" t="s">
        <v>26</v>
      </c>
      <c r="C41" s="12">
        <v>49928.452299999997</v>
      </c>
      <c r="D41" s="12">
        <v>2.0000000000000001E-4</v>
      </c>
      <c r="E41">
        <f t="shared" si="0"/>
        <v>7699.9700364136588</v>
      </c>
      <c r="F41">
        <f t="shared" si="1"/>
        <v>7700</v>
      </c>
      <c r="G41">
        <f t="shared" si="7"/>
        <v>-6.1059999999997672E-2</v>
      </c>
      <c r="K41">
        <f>+G41</f>
        <v>-6.1059999999997672E-2</v>
      </c>
      <c r="O41">
        <f t="shared" ca="1" si="4"/>
        <v>-5.9820564476298688E-2</v>
      </c>
      <c r="Q41" s="2">
        <f t="shared" si="5"/>
        <v>34909.952299999997</v>
      </c>
    </row>
    <row r="42" spans="1:18">
      <c r="A42" s="12" t="s">
        <v>30</v>
      </c>
      <c r="B42" s="13"/>
      <c r="C42" s="12">
        <v>50152.610399999998</v>
      </c>
      <c r="D42" s="12"/>
      <c r="E42">
        <f t="shared" si="0"/>
        <v>7809.9697184247307</v>
      </c>
      <c r="F42">
        <f t="shared" si="1"/>
        <v>7810</v>
      </c>
      <c r="G42">
        <f t="shared" si="7"/>
        <v>-6.1708000001090113E-2</v>
      </c>
      <c r="J42">
        <f>+G42</f>
        <v>-6.1708000001090113E-2</v>
      </c>
      <c r="O42">
        <f t="shared" ca="1" si="4"/>
        <v>-6.0695611643014728E-2</v>
      </c>
      <c r="Q42" s="2">
        <f t="shared" si="5"/>
        <v>35134.110399999998</v>
      </c>
    </row>
    <row r="43" spans="1:18">
      <c r="A43" s="36" t="s">
        <v>30</v>
      </c>
      <c r="B43" s="37" t="s">
        <v>31</v>
      </c>
      <c r="C43" s="36">
        <v>50153.629800000002</v>
      </c>
      <c r="D43" s="36"/>
      <c r="E43">
        <f t="shared" si="0"/>
        <v>7810.4699621180998</v>
      </c>
      <c r="F43">
        <f t="shared" si="1"/>
        <v>7810.5</v>
      </c>
      <c r="G43">
        <f t="shared" si="7"/>
        <v>-6.1211399995954707E-2</v>
      </c>
      <c r="J43">
        <f>+G43</f>
        <v>-6.1211399995954707E-2</v>
      </c>
      <c r="O43">
        <f t="shared" ca="1" si="4"/>
        <v>-6.0699589130136164E-2</v>
      </c>
      <c r="Q43" s="2">
        <f t="shared" si="5"/>
        <v>35135.129800000002</v>
      </c>
    </row>
    <row r="44" spans="1:18">
      <c r="A44" s="14" t="s">
        <v>32</v>
      </c>
      <c r="B44" s="37" t="s">
        <v>26</v>
      </c>
      <c r="C44" s="36">
        <v>51379.365299999998</v>
      </c>
      <c r="D44" s="36">
        <v>2E-3</v>
      </c>
      <c r="E44">
        <f t="shared" si="0"/>
        <v>8411.9673660918197</v>
      </c>
      <c r="F44">
        <f t="shared" si="1"/>
        <v>8412</v>
      </c>
      <c r="G44">
        <f t="shared" si="7"/>
        <v>-6.6501599998446181E-2</v>
      </c>
      <c r="K44">
        <f>+G44</f>
        <v>-6.6501599998446181E-2</v>
      </c>
      <c r="O44">
        <f t="shared" ca="1" si="4"/>
        <v>-6.5484506137224299E-2</v>
      </c>
      <c r="Q44" s="2">
        <f t="shared" si="5"/>
        <v>36360.865299999998</v>
      </c>
    </row>
    <row r="45" spans="1:18">
      <c r="A45" s="38" t="s">
        <v>48</v>
      </c>
      <c r="B45" s="39" t="s">
        <v>26</v>
      </c>
      <c r="C45" s="38">
        <v>51758.396979999998</v>
      </c>
      <c r="D45" s="38">
        <v>3.3E-3</v>
      </c>
      <c r="E45">
        <f t="shared" si="0"/>
        <v>8597.9671772613583</v>
      </c>
      <c r="F45">
        <f t="shared" si="1"/>
        <v>8598</v>
      </c>
      <c r="G45">
        <f t="shared" si="7"/>
        <v>-6.6886399996292312E-2</v>
      </c>
      <c r="K45">
        <f>+G45</f>
        <v>-6.6886399996292312E-2</v>
      </c>
      <c r="O45">
        <f t="shared" ca="1" si="4"/>
        <v>-6.6964131346398698E-2</v>
      </c>
      <c r="Q45" s="2">
        <f t="shared" si="5"/>
        <v>36739.896979999998</v>
      </c>
    </row>
    <row r="46" spans="1:18">
      <c r="A46" s="36" t="s">
        <v>33</v>
      </c>
      <c r="B46" s="37" t="s">
        <v>26</v>
      </c>
      <c r="C46" s="36">
        <v>52031.4614</v>
      </c>
      <c r="D46" s="40">
        <v>7.1000000000000004E-3</v>
      </c>
      <c r="E46">
        <f t="shared" si="0"/>
        <v>8731.9663473495148</v>
      </c>
      <c r="F46">
        <f t="shared" si="1"/>
        <v>8732</v>
      </c>
      <c r="G46">
        <f t="shared" si="7"/>
        <v>-6.8577599995478522E-2</v>
      </c>
      <c r="K46">
        <f>+G46</f>
        <v>-6.8577599995478522E-2</v>
      </c>
      <c r="O46">
        <f t="shared" ca="1" si="4"/>
        <v>-6.8030097894943686E-2</v>
      </c>
      <c r="Q46" s="2">
        <f t="shared" si="5"/>
        <v>37012.9614</v>
      </c>
    </row>
    <row r="47" spans="1:18">
      <c r="A47" s="36" t="s">
        <v>33</v>
      </c>
      <c r="B47" s="37" t="s">
        <v>26</v>
      </c>
      <c r="C47" s="36">
        <v>52031.4614</v>
      </c>
      <c r="D47" s="36">
        <v>7.1000000000000004E-3</v>
      </c>
      <c r="E47">
        <f t="shared" si="0"/>
        <v>8731.9663473495148</v>
      </c>
      <c r="F47">
        <f t="shared" si="1"/>
        <v>8732</v>
      </c>
      <c r="G47">
        <f t="shared" si="7"/>
        <v>-6.8577599995478522E-2</v>
      </c>
      <c r="K47">
        <f>+G47</f>
        <v>-6.8577599995478522E-2</v>
      </c>
      <c r="O47">
        <f t="shared" ca="1" si="4"/>
        <v>-6.8030097894943686E-2</v>
      </c>
      <c r="Q47" s="2">
        <f t="shared" si="5"/>
        <v>37012.9614</v>
      </c>
    </row>
    <row r="48" spans="1:18">
      <c r="A48" s="62" t="s">
        <v>170</v>
      </c>
      <c r="B48" s="63" t="s">
        <v>26</v>
      </c>
      <c r="C48" s="62">
        <v>52084.445</v>
      </c>
      <c r="D48" s="62" t="s">
        <v>68</v>
      </c>
      <c r="E48">
        <f t="shared" si="0"/>
        <v>8757.9666531684961</v>
      </c>
      <c r="F48">
        <f t="shared" si="1"/>
        <v>8758</v>
      </c>
      <c r="G48">
        <f t="shared" si="7"/>
        <v>-6.7954399994050618E-2</v>
      </c>
      <c r="I48">
        <f>+G48</f>
        <v>-6.7954399994050618E-2</v>
      </c>
      <c r="O48">
        <f t="shared" ca="1" si="4"/>
        <v>-6.8236927225258384E-2</v>
      </c>
      <c r="Q48" s="2">
        <f t="shared" si="5"/>
        <v>37065.945</v>
      </c>
    </row>
    <row r="49" spans="1:17">
      <c r="A49" s="38" t="s">
        <v>48</v>
      </c>
      <c r="B49" s="39" t="s">
        <v>26</v>
      </c>
      <c r="C49" s="38">
        <v>52137.428970000001</v>
      </c>
      <c r="D49" s="38">
        <v>3.3999999999999998E-3</v>
      </c>
      <c r="E49">
        <f t="shared" si="0"/>
        <v>8783.9671405552308</v>
      </c>
      <c r="F49">
        <f t="shared" si="1"/>
        <v>8784</v>
      </c>
      <c r="G49">
        <f t="shared" si="7"/>
        <v>-6.6961199998331722E-2</v>
      </c>
      <c r="K49">
        <f>+G49</f>
        <v>-6.6961199998331722E-2</v>
      </c>
      <c r="O49">
        <f t="shared" ca="1" si="4"/>
        <v>-6.8443756555573082E-2</v>
      </c>
      <c r="Q49" s="2">
        <f t="shared" si="5"/>
        <v>37118.928970000001</v>
      </c>
    </row>
    <row r="50" spans="1:17">
      <c r="A50" s="41" t="s">
        <v>36</v>
      </c>
      <c r="B50" s="42" t="s">
        <v>31</v>
      </c>
      <c r="C50" s="43">
        <v>52688.651599999997</v>
      </c>
      <c r="D50" s="43">
        <v>1E-4</v>
      </c>
      <c r="E50">
        <f t="shared" si="0"/>
        <v>9054.4651239754439</v>
      </c>
      <c r="F50">
        <f t="shared" si="1"/>
        <v>9054.5</v>
      </c>
      <c r="G50">
        <f t="shared" si="7"/>
        <v>-7.1070599995437078E-2</v>
      </c>
      <c r="K50">
        <f>+G50</f>
        <v>-7.1070599995437078E-2</v>
      </c>
      <c r="O50">
        <f t="shared" ca="1" si="4"/>
        <v>-7.0595577088270245E-2</v>
      </c>
      <c r="Q50" s="2">
        <f t="shared" si="5"/>
        <v>37670.151599999997</v>
      </c>
    </row>
    <row r="51" spans="1:17">
      <c r="A51" s="41" t="s">
        <v>34</v>
      </c>
      <c r="B51" s="44"/>
      <c r="C51" s="45">
        <v>52839.448600000003</v>
      </c>
      <c r="D51" s="45">
        <v>1.1000000000000001E-3</v>
      </c>
      <c r="E51">
        <f t="shared" si="0"/>
        <v>9128.4647788985731</v>
      </c>
      <c r="F51">
        <f t="shared" si="1"/>
        <v>9128.5</v>
      </c>
      <c r="G51">
        <f t="shared" si="7"/>
        <v>-7.1773799994844012E-2</v>
      </c>
      <c r="J51">
        <f>+G51</f>
        <v>-7.1773799994844012E-2</v>
      </c>
      <c r="O51">
        <f t="shared" ca="1" si="4"/>
        <v>-7.1184245182242853E-2</v>
      </c>
      <c r="Q51" s="2">
        <f t="shared" si="5"/>
        <v>37820.948600000003</v>
      </c>
    </row>
    <row r="52" spans="1:17">
      <c r="A52" s="34" t="s">
        <v>39</v>
      </c>
      <c r="B52" s="33" t="s">
        <v>26</v>
      </c>
      <c r="C52" s="35">
        <v>53592.416100000002</v>
      </c>
      <c r="D52" s="35">
        <v>6.9999999999999999E-4</v>
      </c>
      <c r="E52">
        <f t="shared" si="0"/>
        <v>9497.9637421957796</v>
      </c>
      <c r="F52">
        <f t="shared" si="1"/>
        <v>9498</v>
      </c>
      <c r="G52">
        <f t="shared" si="7"/>
        <v>-7.3886399994080421E-2</v>
      </c>
      <c r="J52">
        <f>+G52</f>
        <v>-7.3886399994080421E-2</v>
      </c>
      <c r="O52">
        <f t="shared" ca="1" si="4"/>
        <v>-7.4123608164984436E-2</v>
      </c>
      <c r="Q52" s="2">
        <f t="shared" si="5"/>
        <v>38573.916100000002</v>
      </c>
    </row>
    <row r="53" spans="1:17">
      <c r="A53" s="34" t="s">
        <v>38</v>
      </c>
      <c r="B53" s="33" t="s">
        <v>31</v>
      </c>
      <c r="C53" s="35">
        <v>53639.282200000001</v>
      </c>
      <c r="D53" s="35">
        <v>1.8E-3</v>
      </c>
      <c r="E53">
        <f t="shared" ref="E53:E74" si="8">+(C53-C$7)/C$8</f>
        <v>9520.9620460585393</v>
      </c>
      <c r="F53">
        <f t="shared" ref="F53:F74" si="9">ROUND(2*E53,0)/2</f>
        <v>9521</v>
      </c>
      <c r="G53">
        <f t="shared" si="7"/>
        <v>-7.7342799995676614E-2</v>
      </c>
      <c r="J53">
        <f>+G53</f>
        <v>-7.7342799995676614E-2</v>
      </c>
      <c r="O53">
        <f t="shared" ref="O53:O74" ca="1" si="10">+C$11+C$12*$F53</f>
        <v>-7.430657257257052E-2</v>
      </c>
      <c r="Q53" s="2">
        <f t="shared" ref="Q53:Q74" si="11">+C53-15018.5</f>
        <v>38620.782200000001</v>
      </c>
    </row>
    <row r="54" spans="1:17">
      <c r="A54" s="34" t="s">
        <v>38</v>
      </c>
      <c r="B54" s="44"/>
      <c r="C54" s="35">
        <v>53650.491000000002</v>
      </c>
      <c r="D54" s="35">
        <v>8.0000000000000004E-4</v>
      </c>
      <c r="E54">
        <f t="shared" si="8"/>
        <v>9526.4624693567639</v>
      </c>
      <c r="F54">
        <f t="shared" si="9"/>
        <v>9526.5</v>
      </c>
      <c r="G54">
        <f t="shared" si="7"/>
        <v>-7.6480199997604359E-2</v>
      </c>
      <c r="J54">
        <f>+G54</f>
        <v>-7.6480199997604359E-2</v>
      </c>
      <c r="O54">
        <f t="shared" ca="1" si="10"/>
        <v>-7.435032493090632E-2</v>
      </c>
      <c r="Q54" s="2">
        <f t="shared" si="11"/>
        <v>38631.991000000002</v>
      </c>
    </row>
    <row r="55" spans="1:17">
      <c r="A55" s="14" t="s">
        <v>45</v>
      </c>
      <c r="B55" s="33" t="s">
        <v>26</v>
      </c>
      <c r="C55" s="35">
        <v>53918.463600000003</v>
      </c>
      <c r="D55" s="35">
        <v>2.0000000000000001E-4</v>
      </c>
      <c r="E55">
        <f t="shared" si="8"/>
        <v>9657.9629629266165</v>
      </c>
      <c r="F55">
        <f t="shared" si="9"/>
        <v>9658</v>
      </c>
      <c r="G55">
        <f t="shared" si="7"/>
        <v>-7.5474399993254337E-2</v>
      </c>
      <c r="K55">
        <f>+G55</f>
        <v>-7.5474399993254337E-2</v>
      </c>
      <c r="O55">
        <f t="shared" ca="1" si="10"/>
        <v>-7.5396404043844123E-2</v>
      </c>
      <c r="Q55" s="2">
        <f t="shared" si="11"/>
        <v>38899.963600000003</v>
      </c>
    </row>
    <row r="56" spans="1:17">
      <c r="A56" s="34" t="s">
        <v>38</v>
      </c>
      <c r="B56" s="44"/>
      <c r="C56" s="35">
        <v>53920.501499999998</v>
      </c>
      <c r="D56" s="35">
        <v>8.0000000000000004E-4</v>
      </c>
      <c r="E56">
        <f t="shared" si="8"/>
        <v>9658.9630086620582</v>
      </c>
      <c r="F56">
        <f t="shared" si="9"/>
        <v>9659</v>
      </c>
      <c r="G56">
        <f t="shared" si="7"/>
        <v>-7.5381199996627402E-2</v>
      </c>
      <c r="J56">
        <f>+G56</f>
        <v>-7.5381199996627402E-2</v>
      </c>
      <c r="O56">
        <f t="shared" ca="1" si="10"/>
        <v>-7.5404359018086994E-2</v>
      </c>
      <c r="Q56" s="2">
        <f t="shared" si="11"/>
        <v>38902.001499999998</v>
      </c>
    </row>
    <row r="57" spans="1:17">
      <c r="A57" s="34" t="s">
        <v>47</v>
      </c>
      <c r="B57" s="33" t="s">
        <v>26</v>
      </c>
      <c r="C57" s="35">
        <v>54295.4568</v>
      </c>
      <c r="D57" s="35"/>
      <c r="E57">
        <f t="shared" si="8"/>
        <v>9842.9624437409893</v>
      </c>
      <c r="F57">
        <f t="shared" si="9"/>
        <v>9843</v>
      </c>
      <c r="G57">
        <f t="shared" si="7"/>
        <v>-7.6532399994903244E-2</v>
      </c>
      <c r="J57">
        <f>+G57</f>
        <v>-7.6532399994903244E-2</v>
      </c>
      <c r="O57">
        <f t="shared" ca="1" si="10"/>
        <v>-7.686807427877565E-2</v>
      </c>
      <c r="Q57" s="2">
        <f t="shared" si="11"/>
        <v>39276.9568</v>
      </c>
    </row>
    <row r="58" spans="1:17">
      <c r="A58" s="62" t="s">
        <v>214</v>
      </c>
      <c r="B58" s="63" t="s">
        <v>31</v>
      </c>
      <c r="C58" s="62">
        <v>54298.511500000001</v>
      </c>
      <c r="D58" s="62" t="s">
        <v>68</v>
      </c>
      <c r="E58">
        <f t="shared" si="8"/>
        <v>9844.4614572882983</v>
      </c>
      <c r="F58">
        <f t="shared" si="9"/>
        <v>9844.5</v>
      </c>
      <c r="G58">
        <f t="shared" si="7"/>
        <v>-7.8542600000218954E-2</v>
      </c>
      <c r="I58">
        <f>+G58</f>
        <v>-7.8542600000218954E-2</v>
      </c>
      <c r="O58">
        <f t="shared" ca="1" si="10"/>
        <v>-7.688000674013995E-2</v>
      </c>
      <c r="Q58" s="2">
        <f t="shared" si="11"/>
        <v>39280.011500000001</v>
      </c>
    </row>
    <row r="59" spans="1:17">
      <c r="A59" s="14" t="s">
        <v>52</v>
      </c>
      <c r="B59" s="46" t="s">
        <v>26</v>
      </c>
      <c r="C59" s="14">
        <v>54397.3462</v>
      </c>
      <c r="D59" s="14">
        <v>2.9999999999999997E-4</v>
      </c>
      <c r="E59">
        <f t="shared" si="8"/>
        <v>9892.9619824607526</v>
      </c>
      <c r="F59">
        <f t="shared" si="9"/>
        <v>9893</v>
      </c>
      <c r="G59">
        <f t="shared" si="7"/>
        <v>-7.747239999298472E-2</v>
      </c>
      <c r="K59">
        <f t="shared" ref="K58:K64" si="12">+G59</f>
        <v>-7.747239999298472E-2</v>
      </c>
      <c r="O59">
        <f t="shared" ca="1" si="10"/>
        <v>-7.7265822990919289E-2</v>
      </c>
      <c r="Q59" s="2">
        <f t="shared" si="11"/>
        <v>39378.8462</v>
      </c>
    </row>
    <row r="60" spans="1:17">
      <c r="A60" s="14" t="s">
        <v>49</v>
      </c>
      <c r="B60" s="46" t="s">
        <v>26</v>
      </c>
      <c r="C60" s="14">
        <v>54994.421600000001</v>
      </c>
      <c r="D60" s="14">
        <v>5.9999999999999995E-4</v>
      </c>
      <c r="E60">
        <f t="shared" si="8"/>
        <v>10185.961004742945</v>
      </c>
      <c r="F60">
        <f t="shared" si="9"/>
        <v>10186</v>
      </c>
      <c r="G60">
        <f t="shared" si="7"/>
        <v>-7.9464799993729685E-2</v>
      </c>
      <c r="K60">
        <f t="shared" si="12"/>
        <v>-7.9464799993729685E-2</v>
      </c>
      <c r="O60">
        <f t="shared" ca="1" si="10"/>
        <v>-7.9596630444081107E-2</v>
      </c>
      <c r="Q60" s="2">
        <f t="shared" si="11"/>
        <v>39975.921600000001</v>
      </c>
    </row>
    <row r="61" spans="1:17">
      <c r="A61" s="14" t="s">
        <v>49</v>
      </c>
      <c r="B61" s="46" t="s">
        <v>31</v>
      </c>
      <c r="C61" s="14">
        <v>54995.441700000003</v>
      </c>
      <c r="D61" s="14">
        <v>1E-4</v>
      </c>
      <c r="E61">
        <f t="shared" si="8"/>
        <v>10186.461591942871</v>
      </c>
      <c r="F61">
        <f t="shared" si="9"/>
        <v>10186.5</v>
      </c>
      <c r="G61">
        <f t="shared" si="7"/>
        <v>-7.8268199991725851E-2</v>
      </c>
      <c r="K61">
        <f t="shared" si="12"/>
        <v>-7.8268199991725851E-2</v>
      </c>
      <c r="O61">
        <f t="shared" ca="1" si="10"/>
        <v>-7.9600607931202536E-2</v>
      </c>
      <c r="Q61" s="2">
        <f t="shared" si="11"/>
        <v>39976.941700000003</v>
      </c>
    </row>
    <row r="62" spans="1:17">
      <c r="A62" s="62" t="s">
        <v>235</v>
      </c>
      <c r="B62" s="63" t="s">
        <v>26</v>
      </c>
      <c r="C62" s="62">
        <v>54996.460099999997</v>
      </c>
      <c r="D62" s="62" t="s">
        <v>68</v>
      </c>
      <c r="E62">
        <f t="shared" si="8"/>
        <v>10186.961344912579</v>
      </c>
      <c r="F62">
        <f t="shared" si="9"/>
        <v>10187</v>
      </c>
      <c r="G62">
        <f t="shared" si="7"/>
        <v>-7.8771599997708108E-2</v>
      </c>
      <c r="I62">
        <f>+G62</f>
        <v>-7.8771599997708108E-2</v>
      </c>
      <c r="O62">
        <f t="shared" ca="1" si="10"/>
        <v>-7.9604585418323978E-2</v>
      </c>
      <c r="Q62" s="2">
        <f t="shared" si="11"/>
        <v>39977.960099999997</v>
      </c>
    </row>
    <row r="63" spans="1:17">
      <c r="A63" s="68" t="s">
        <v>273</v>
      </c>
      <c r="B63" s="69" t="s">
        <v>26</v>
      </c>
      <c r="C63" s="70">
        <v>55320.469700000001</v>
      </c>
      <c r="D63" s="70">
        <v>1E-4</v>
      </c>
      <c r="E63">
        <f t="shared" si="8"/>
        <v>10345.960519907974</v>
      </c>
      <c r="F63">
        <f t="shared" si="9"/>
        <v>10346</v>
      </c>
      <c r="G63">
        <f t="shared" si="7"/>
        <v>-8.0452799993508961E-2</v>
      </c>
      <c r="K63">
        <f t="shared" si="12"/>
        <v>-8.0452799993508961E-2</v>
      </c>
      <c r="O63">
        <f t="shared" ca="1" si="10"/>
        <v>-8.0869426322940793E-2</v>
      </c>
      <c r="Q63" s="2">
        <f t="shared" si="11"/>
        <v>40301.969700000001</v>
      </c>
    </row>
    <row r="64" spans="1:17">
      <c r="A64" s="68" t="s">
        <v>273</v>
      </c>
      <c r="B64" s="69" t="s">
        <v>31</v>
      </c>
      <c r="C64" s="70">
        <v>55325.564299999998</v>
      </c>
      <c r="D64" s="70">
        <v>1E-4</v>
      </c>
      <c r="E64">
        <f t="shared" si="8"/>
        <v>10348.460560638036</v>
      </c>
      <c r="F64">
        <f t="shared" si="9"/>
        <v>10348.5</v>
      </c>
      <c r="G64">
        <f t="shared" si="7"/>
        <v>-8.0369799994514324E-2</v>
      </c>
      <c r="K64">
        <f t="shared" si="12"/>
        <v>-8.0369799994514324E-2</v>
      </c>
      <c r="O64">
        <f t="shared" ca="1" si="10"/>
        <v>-8.0889313758547965E-2</v>
      </c>
      <c r="Q64" s="2">
        <f t="shared" si="11"/>
        <v>40307.064299999998</v>
      </c>
    </row>
    <row r="65" spans="1:17">
      <c r="A65" s="14" t="s">
        <v>53</v>
      </c>
      <c r="B65" s="46" t="s">
        <v>26</v>
      </c>
      <c r="C65" s="14">
        <v>55375.490899999997</v>
      </c>
      <c r="D65" s="14">
        <v>5.0000000000000001E-4</v>
      </c>
      <c r="E65">
        <f t="shared" si="8"/>
        <v>10372.960724245302</v>
      </c>
      <c r="F65">
        <f t="shared" si="9"/>
        <v>10373</v>
      </c>
      <c r="G65">
        <f t="shared" si="7"/>
        <v>-8.0036399995151442E-2</v>
      </c>
      <c r="J65">
        <f>+G65</f>
        <v>-8.0036399995151442E-2</v>
      </c>
      <c r="O65">
        <f t="shared" ca="1" si="10"/>
        <v>-8.1084210627498363E-2</v>
      </c>
      <c r="Q65" s="2">
        <f t="shared" si="11"/>
        <v>40356.990899999997</v>
      </c>
    </row>
    <row r="66" spans="1:17">
      <c r="A66" s="14" t="s">
        <v>53</v>
      </c>
      <c r="B66" s="46" t="s">
        <v>31</v>
      </c>
      <c r="C66" s="14">
        <v>55376.509299999998</v>
      </c>
      <c r="D66" s="14">
        <v>2.3E-3</v>
      </c>
      <c r="E66">
        <f t="shared" si="8"/>
        <v>10373.460477215014</v>
      </c>
      <c r="F66">
        <f t="shared" si="9"/>
        <v>10373.5</v>
      </c>
      <c r="G66">
        <f t="shared" si="7"/>
        <v>-8.0539800001133699E-2</v>
      </c>
      <c r="J66">
        <f>+G66</f>
        <v>-8.0539800001133699E-2</v>
      </c>
      <c r="O66">
        <f t="shared" ca="1" si="10"/>
        <v>-8.1088188114619791E-2</v>
      </c>
      <c r="Q66" s="2">
        <f t="shared" si="11"/>
        <v>40358.009299999998</v>
      </c>
    </row>
    <row r="67" spans="1:17">
      <c r="A67" s="64" t="s">
        <v>56</v>
      </c>
      <c r="B67" s="64"/>
      <c r="C67" s="65">
        <v>55429.494200000001</v>
      </c>
      <c r="D67" s="65">
        <v>1.6000000000000001E-3</v>
      </c>
      <c r="E67">
        <f t="shared" si="8"/>
        <v>10399.461420974749</v>
      </c>
      <c r="F67">
        <f t="shared" si="9"/>
        <v>10399.5</v>
      </c>
      <c r="G67">
        <f t="shared" si="7"/>
        <v>-7.8616599996166769E-2</v>
      </c>
      <c r="J67">
        <f>+G67</f>
        <v>-7.8616599996166769E-2</v>
      </c>
      <c r="O67">
        <f t="shared" ca="1" si="10"/>
        <v>-8.1295017444934503E-2</v>
      </c>
      <c r="Q67" s="2">
        <f t="shared" si="11"/>
        <v>40410.994200000001</v>
      </c>
    </row>
    <row r="68" spans="1:17">
      <c r="A68" s="64" t="s">
        <v>56</v>
      </c>
      <c r="B68" s="64"/>
      <c r="C68" s="65">
        <v>55430.5101</v>
      </c>
      <c r="D68" s="65">
        <v>2.8999999999999998E-3</v>
      </c>
      <c r="E68">
        <f t="shared" si="8"/>
        <v>10399.959947135323</v>
      </c>
      <c r="F68">
        <f t="shared" si="9"/>
        <v>10400</v>
      </c>
      <c r="G68">
        <f t="shared" si="7"/>
        <v>-8.1619999997201376E-2</v>
      </c>
      <c r="J68">
        <f>+G68</f>
        <v>-8.1619999997201376E-2</v>
      </c>
      <c r="O68">
        <f t="shared" ca="1" si="10"/>
        <v>-8.1298994932055932E-2</v>
      </c>
      <c r="Q68" s="2">
        <f t="shared" si="11"/>
        <v>40412.0101</v>
      </c>
    </row>
    <row r="69" spans="1:17">
      <c r="A69" s="68" t="s">
        <v>273</v>
      </c>
      <c r="B69" s="69" t="s">
        <v>31</v>
      </c>
      <c r="C69" s="70">
        <v>55482.475299999998</v>
      </c>
      <c r="D69" s="70">
        <v>4.0000000000000002E-4</v>
      </c>
      <c r="E69">
        <f t="shared" si="8"/>
        <v>10425.460499984592</v>
      </c>
      <c r="F69">
        <f t="shared" si="9"/>
        <v>10425.5</v>
      </c>
      <c r="G69">
        <f t="shared" si="7"/>
        <v>-8.0493399997067172E-2</v>
      </c>
      <c r="K69">
        <f>+G69</f>
        <v>-8.0493399997067172E-2</v>
      </c>
      <c r="O69">
        <f t="shared" ca="1" si="10"/>
        <v>-8.1501846775249201E-2</v>
      </c>
      <c r="Q69" s="2">
        <f t="shared" si="11"/>
        <v>40463.975299999998</v>
      </c>
    </row>
    <row r="70" spans="1:17">
      <c r="A70" s="65" t="s">
        <v>258</v>
      </c>
      <c r="B70" s="66" t="s">
        <v>31</v>
      </c>
      <c r="C70" s="65">
        <v>55804.447099999998</v>
      </c>
      <c r="D70" s="65" t="s">
        <v>68</v>
      </c>
      <c r="E70">
        <f t="shared" si="8"/>
        <v>10583.459678316905</v>
      </c>
      <c r="F70">
        <f t="shared" si="9"/>
        <v>10583.5</v>
      </c>
      <c r="G70">
        <f t="shared" si="7"/>
        <v>-8.2167799999297131E-2</v>
      </c>
      <c r="I70">
        <f>+G70</f>
        <v>-8.2167799999297131E-2</v>
      </c>
      <c r="O70">
        <f t="shared" ca="1" si="10"/>
        <v>-8.2758732705623145E-2</v>
      </c>
      <c r="Q70" s="2">
        <f t="shared" si="11"/>
        <v>40785.947099999998</v>
      </c>
    </row>
    <row r="71" spans="1:17">
      <c r="A71" s="68" t="s">
        <v>273</v>
      </c>
      <c r="B71" s="69" t="s">
        <v>31</v>
      </c>
      <c r="C71" s="70">
        <v>56503.410900000003</v>
      </c>
      <c r="D71" s="70">
        <v>2.0000000000000001E-4</v>
      </c>
      <c r="E71">
        <f t="shared" si="8"/>
        <v>10926.457748595209</v>
      </c>
      <c r="F71">
        <f t="shared" si="9"/>
        <v>10926.5</v>
      </c>
      <c r="G71">
        <f t="shared" si="7"/>
        <v>-8.6100199994689319E-2</v>
      </c>
      <c r="K71">
        <f>+G71</f>
        <v>-8.6100199994689319E-2</v>
      </c>
      <c r="O71">
        <f t="shared" ca="1" si="10"/>
        <v>-8.5487288870928602E-2</v>
      </c>
      <c r="Q71" s="2">
        <f t="shared" si="11"/>
        <v>41484.910900000003</v>
      </c>
    </row>
    <row r="72" spans="1:17">
      <c r="A72" s="67" t="s">
        <v>57</v>
      </c>
      <c r="B72" s="66"/>
      <c r="C72" s="67">
        <v>56730.627500000002</v>
      </c>
      <c r="D72" s="67">
        <v>2.0000000000000001E-4</v>
      </c>
      <c r="E72">
        <f t="shared" si="8"/>
        <v>11037.958308903477</v>
      </c>
      <c r="F72">
        <f t="shared" si="9"/>
        <v>11038</v>
      </c>
      <c r="G72">
        <f t="shared" si="7"/>
        <v>-8.4958399995230138E-2</v>
      </c>
      <c r="J72">
        <f>+G72</f>
        <v>-8.4958399995230138E-2</v>
      </c>
      <c r="O72">
        <f t="shared" ca="1" si="10"/>
        <v>-8.6374268499008935E-2</v>
      </c>
      <c r="Q72" s="2">
        <f t="shared" si="11"/>
        <v>41712.127500000002</v>
      </c>
    </row>
    <row r="73" spans="1:17">
      <c r="A73" s="67" t="s">
        <v>57</v>
      </c>
      <c r="B73" s="66"/>
      <c r="C73" s="67">
        <v>56929.3128</v>
      </c>
      <c r="D73" s="67">
        <v>1E-3</v>
      </c>
      <c r="E73">
        <f t="shared" si="8"/>
        <v>11135.457885408961</v>
      </c>
      <c r="F73">
        <f t="shared" si="9"/>
        <v>11135.5</v>
      </c>
      <c r="G73">
        <f t="shared" si="7"/>
        <v>-8.5821399996348191E-2</v>
      </c>
      <c r="J73">
        <f>+G73</f>
        <v>-8.5821399996348191E-2</v>
      </c>
      <c r="O73">
        <f t="shared" ca="1" si="10"/>
        <v>-8.714987848768907E-2</v>
      </c>
      <c r="Q73" s="2">
        <f t="shared" si="11"/>
        <v>41910.8128</v>
      </c>
    </row>
    <row r="74" spans="1:17">
      <c r="A74" s="67" t="s">
        <v>57</v>
      </c>
      <c r="B74" s="66"/>
      <c r="C74" s="67">
        <v>56930.331400000003</v>
      </c>
      <c r="D74" s="67">
        <v>1.8E-3</v>
      </c>
      <c r="E74">
        <f t="shared" si="8"/>
        <v>11135.957736523407</v>
      </c>
      <c r="F74">
        <f t="shared" si="9"/>
        <v>11136</v>
      </c>
      <c r="G74">
        <f t="shared" si="7"/>
        <v>-8.6124799992830958E-2</v>
      </c>
      <c r="J74">
        <f>+G74</f>
        <v>-8.6124799992830958E-2</v>
      </c>
      <c r="O74">
        <f t="shared" ca="1" si="10"/>
        <v>-8.7153855974810499E-2</v>
      </c>
      <c r="Q74" s="2">
        <f t="shared" si="11"/>
        <v>41911.831400000003</v>
      </c>
    </row>
    <row r="75" spans="1:17">
      <c r="B75" s="16"/>
    </row>
    <row r="76" spans="1:17">
      <c r="B76" s="16"/>
    </row>
    <row r="77" spans="1:17">
      <c r="B77" s="16"/>
    </row>
    <row r="78" spans="1:17">
      <c r="B78" s="16"/>
    </row>
    <row r="79" spans="1:17">
      <c r="B79" s="16"/>
    </row>
    <row r="80" spans="1:17">
      <c r="B80" s="16"/>
    </row>
    <row r="81" spans="2:2">
      <c r="B81" s="16"/>
    </row>
    <row r="82" spans="2:2">
      <c r="B82" s="16"/>
    </row>
    <row r="83" spans="2:2">
      <c r="B83" s="16"/>
    </row>
    <row r="84" spans="2:2">
      <c r="B84" s="1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0"/>
  <sheetViews>
    <sheetView topLeftCell="A9" workbookViewId="0">
      <selection activeCell="A37" sqref="A37:D58"/>
    </sheetView>
  </sheetViews>
  <sheetFormatPr defaultRowHeight="12.75"/>
  <cols>
    <col min="1" max="1" width="19.7109375" style="49" customWidth="1"/>
    <col min="2" max="2" width="4.42578125" style="15" customWidth="1"/>
    <col min="3" max="3" width="12.7109375" style="4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8" t="s">
        <v>58</v>
      </c>
      <c r="I1" s="50" t="s">
        <v>59</v>
      </c>
      <c r="J1" s="51" t="s">
        <v>60</v>
      </c>
    </row>
    <row r="2" spans="1:16">
      <c r="I2" s="52" t="s">
        <v>61</v>
      </c>
      <c r="J2" s="53" t="s">
        <v>62</v>
      </c>
    </row>
    <row r="3" spans="1:16">
      <c r="A3" s="54" t="s">
        <v>63</v>
      </c>
      <c r="I3" s="52" t="s">
        <v>64</v>
      </c>
      <c r="J3" s="53" t="s">
        <v>65</v>
      </c>
    </row>
    <row r="4" spans="1:16">
      <c r="I4" s="52" t="s">
        <v>66</v>
      </c>
      <c r="J4" s="53" t="s">
        <v>65</v>
      </c>
    </row>
    <row r="5" spans="1:16" ht="13.5" thickBot="1">
      <c r="I5" s="55" t="s">
        <v>67</v>
      </c>
      <c r="J5" s="56" t="s">
        <v>68</v>
      </c>
    </row>
    <row r="10" spans="1:16" ht="13.5" thickBot="1"/>
    <row r="11" spans="1:16" ht="12.75" customHeight="1" thickBot="1">
      <c r="A11" s="49" t="str">
        <f t="shared" ref="A11:A58" si="0">P11</f>
        <v>IBVS 4278 </v>
      </c>
      <c r="B11" s="16" t="str">
        <f t="shared" ref="B11:B58" si="1">IF(H11=INT(H11),"I","II")</f>
        <v>II</v>
      </c>
      <c r="C11" s="49">
        <f t="shared" ref="C11:C58" si="2">1*G11</f>
        <v>49925.396099999998</v>
      </c>
      <c r="D11" s="15" t="str">
        <f t="shared" ref="D11:D58" si="3">VLOOKUP(F11,I$1:J$5,2,FALSE)</f>
        <v>vis</v>
      </c>
      <c r="E11" s="57">
        <f>VLOOKUP(C11,Active!C$21:E$973,3,FALSE)</f>
        <v>7698.4702867808674</v>
      </c>
      <c r="F11" s="16" t="s">
        <v>67</v>
      </c>
      <c r="G11" s="15" t="str">
        <f t="shared" ref="G11:G58" si="4">MID(I11,3,LEN(I11)-3)</f>
        <v>49925.3961</v>
      </c>
      <c r="H11" s="49">
        <f t="shared" ref="H11:H58" si="5">1*K11</f>
        <v>7698.5</v>
      </c>
      <c r="I11" s="58" t="s">
        <v>131</v>
      </c>
      <c r="J11" s="59" t="s">
        <v>132</v>
      </c>
      <c r="K11" s="58">
        <v>7698.5</v>
      </c>
      <c r="L11" s="58" t="s">
        <v>133</v>
      </c>
      <c r="M11" s="59" t="s">
        <v>134</v>
      </c>
      <c r="N11" s="59" t="s">
        <v>135</v>
      </c>
      <c r="O11" s="60" t="s">
        <v>136</v>
      </c>
      <c r="P11" s="61" t="s">
        <v>137</v>
      </c>
    </row>
    <row r="12" spans="1:16" ht="12.75" customHeight="1" thickBot="1">
      <c r="A12" s="49" t="str">
        <f t="shared" si="0"/>
        <v>IBVS 4278 </v>
      </c>
      <c r="B12" s="16" t="str">
        <f t="shared" si="1"/>
        <v>I</v>
      </c>
      <c r="C12" s="49">
        <f t="shared" si="2"/>
        <v>49928.452299999997</v>
      </c>
      <c r="D12" s="15" t="str">
        <f t="shared" si="3"/>
        <v>vis</v>
      </c>
      <c r="E12" s="57">
        <f>VLOOKUP(C12,Active!C$21:E$973,3,FALSE)</f>
        <v>7699.9700364136588</v>
      </c>
      <c r="F12" s="16" t="s">
        <v>67</v>
      </c>
      <c r="G12" s="15" t="str">
        <f t="shared" si="4"/>
        <v>49928.4523</v>
      </c>
      <c r="H12" s="49">
        <f t="shared" si="5"/>
        <v>7700</v>
      </c>
      <c r="I12" s="58" t="s">
        <v>138</v>
      </c>
      <c r="J12" s="59" t="s">
        <v>139</v>
      </c>
      <c r="K12" s="58">
        <v>7700</v>
      </c>
      <c r="L12" s="58" t="s">
        <v>140</v>
      </c>
      <c r="M12" s="59" t="s">
        <v>134</v>
      </c>
      <c r="N12" s="59" t="s">
        <v>135</v>
      </c>
      <c r="O12" s="60" t="s">
        <v>136</v>
      </c>
      <c r="P12" s="61" t="s">
        <v>137</v>
      </c>
    </row>
    <row r="13" spans="1:16" ht="12.75" customHeight="1" thickBot="1">
      <c r="A13" s="49" t="str">
        <f t="shared" si="0"/>
        <v>BAVM 99 </v>
      </c>
      <c r="B13" s="16" t="str">
        <f t="shared" si="1"/>
        <v>I</v>
      </c>
      <c r="C13" s="49">
        <f t="shared" si="2"/>
        <v>50152.610399999998</v>
      </c>
      <c r="D13" s="15" t="str">
        <f t="shared" si="3"/>
        <v>vis</v>
      </c>
      <c r="E13" s="57">
        <f>VLOOKUP(C13,Active!C$21:E$973,3,FALSE)</f>
        <v>7809.9697184247307</v>
      </c>
      <c r="F13" s="16" t="s">
        <v>67</v>
      </c>
      <c r="G13" s="15" t="str">
        <f t="shared" si="4"/>
        <v>50152.6104</v>
      </c>
      <c r="H13" s="49">
        <f t="shared" si="5"/>
        <v>7810</v>
      </c>
      <c r="I13" s="58" t="s">
        <v>141</v>
      </c>
      <c r="J13" s="59" t="s">
        <v>142</v>
      </c>
      <c r="K13" s="58">
        <v>7810</v>
      </c>
      <c r="L13" s="58" t="s">
        <v>143</v>
      </c>
      <c r="M13" s="59" t="s">
        <v>134</v>
      </c>
      <c r="N13" s="59" t="s">
        <v>144</v>
      </c>
      <c r="O13" s="60" t="s">
        <v>145</v>
      </c>
      <c r="P13" s="61" t="s">
        <v>146</v>
      </c>
    </row>
    <row r="14" spans="1:16" ht="12.75" customHeight="1" thickBot="1">
      <c r="A14" s="49" t="str">
        <f t="shared" si="0"/>
        <v>BAVM 99 </v>
      </c>
      <c r="B14" s="16" t="str">
        <f t="shared" si="1"/>
        <v>II</v>
      </c>
      <c r="C14" s="49">
        <f t="shared" si="2"/>
        <v>50153.629800000002</v>
      </c>
      <c r="D14" s="15" t="str">
        <f t="shared" si="3"/>
        <v>vis</v>
      </c>
      <c r="E14" s="57">
        <f>VLOOKUP(C14,Active!C$21:E$973,3,FALSE)</f>
        <v>7810.4699621180998</v>
      </c>
      <c r="F14" s="16" t="s">
        <v>67</v>
      </c>
      <c r="G14" s="15" t="str">
        <f t="shared" si="4"/>
        <v>50153.6298</v>
      </c>
      <c r="H14" s="49">
        <f t="shared" si="5"/>
        <v>7810.5</v>
      </c>
      <c r="I14" s="58" t="s">
        <v>147</v>
      </c>
      <c r="J14" s="59" t="s">
        <v>148</v>
      </c>
      <c r="K14" s="58">
        <v>7810.5</v>
      </c>
      <c r="L14" s="58" t="s">
        <v>149</v>
      </c>
      <c r="M14" s="59" t="s">
        <v>134</v>
      </c>
      <c r="N14" s="59" t="s">
        <v>144</v>
      </c>
      <c r="O14" s="60" t="s">
        <v>145</v>
      </c>
      <c r="P14" s="61" t="s">
        <v>146</v>
      </c>
    </row>
    <row r="15" spans="1:16" ht="12.75" customHeight="1" thickBot="1">
      <c r="A15" s="49" t="str">
        <f t="shared" si="0"/>
        <v>IBVS 5263 </v>
      </c>
      <c r="B15" s="16" t="str">
        <f t="shared" si="1"/>
        <v>I</v>
      </c>
      <c r="C15" s="49">
        <f t="shared" si="2"/>
        <v>51379.365299999998</v>
      </c>
      <c r="D15" s="15" t="str">
        <f t="shared" si="3"/>
        <v>vis</v>
      </c>
      <c r="E15" s="57">
        <f>VLOOKUP(C15,Active!C$21:E$973,3,FALSE)</f>
        <v>8411.9673660918197</v>
      </c>
      <c r="F15" s="16" t="s">
        <v>67</v>
      </c>
      <c r="G15" s="15" t="str">
        <f t="shared" si="4"/>
        <v>51379.3653</v>
      </c>
      <c r="H15" s="49">
        <f t="shared" si="5"/>
        <v>8412</v>
      </c>
      <c r="I15" s="58" t="s">
        <v>150</v>
      </c>
      <c r="J15" s="59" t="s">
        <v>151</v>
      </c>
      <c r="K15" s="58">
        <v>8412</v>
      </c>
      <c r="L15" s="58" t="s">
        <v>152</v>
      </c>
      <c r="M15" s="59" t="s">
        <v>134</v>
      </c>
      <c r="N15" s="59" t="s">
        <v>135</v>
      </c>
      <c r="O15" s="60" t="s">
        <v>153</v>
      </c>
      <c r="P15" s="61" t="s">
        <v>154</v>
      </c>
    </row>
    <row r="16" spans="1:16" ht="12.75" customHeight="1" thickBot="1">
      <c r="A16" s="49" t="str">
        <f t="shared" si="0"/>
        <v>OEJV 0074 </v>
      </c>
      <c r="B16" s="16" t="str">
        <f t="shared" si="1"/>
        <v>I</v>
      </c>
      <c r="C16" s="49">
        <f t="shared" si="2"/>
        <v>51758.396979999998</v>
      </c>
      <c r="D16" s="15" t="str">
        <f t="shared" si="3"/>
        <v>vis</v>
      </c>
      <c r="E16" s="57">
        <f>VLOOKUP(C16,Active!C$21:E$973,3,FALSE)</f>
        <v>8597.9671772613583</v>
      </c>
      <c r="F16" s="16" t="s">
        <v>67</v>
      </c>
      <c r="G16" s="15" t="str">
        <f t="shared" si="4"/>
        <v>51758.39698</v>
      </c>
      <c r="H16" s="49">
        <f t="shared" si="5"/>
        <v>8598</v>
      </c>
      <c r="I16" s="58" t="s">
        <v>155</v>
      </c>
      <c r="J16" s="59" t="s">
        <v>156</v>
      </c>
      <c r="K16" s="58">
        <v>8598</v>
      </c>
      <c r="L16" s="58" t="s">
        <v>157</v>
      </c>
      <c r="M16" s="59" t="s">
        <v>158</v>
      </c>
      <c r="N16" s="59" t="s">
        <v>144</v>
      </c>
      <c r="O16" s="60" t="s">
        <v>159</v>
      </c>
      <c r="P16" s="61" t="s">
        <v>160</v>
      </c>
    </row>
    <row r="17" spans="1:16" ht="12.75" customHeight="1" thickBot="1">
      <c r="A17" s="49" t="str">
        <f t="shared" si="0"/>
        <v>IBVS 5583 </v>
      </c>
      <c r="B17" s="16" t="str">
        <f t="shared" si="1"/>
        <v>I</v>
      </c>
      <c r="C17" s="49">
        <f t="shared" si="2"/>
        <v>52031.4614</v>
      </c>
      <c r="D17" s="15" t="str">
        <f t="shared" si="3"/>
        <v>vis</v>
      </c>
      <c r="E17" s="57">
        <f>VLOOKUP(C17,Active!C$21:E$973,3,FALSE)</f>
        <v>8731.9663473495148</v>
      </c>
      <c r="F17" s="16" t="s">
        <v>67</v>
      </c>
      <c r="G17" s="15" t="str">
        <f t="shared" si="4"/>
        <v>52031.4614</v>
      </c>
      <c r="H17" s="49">
        <f t="shared" si="5"/>
        <v>8732</v>
      </c>
      <c r="I17" s="58" t="s">
        <v>161</v>
      </c>
      <c r="J17" s="59" t="s">
        <v>162</v>
      </c>
      <c r="K17" s="58">
        <v>8732</v>
      </c>
      <c r="L17" s="58" t="s">
        <v>163</v>
      </c>
      <c r="M17" s="59" t="s">
        <v>134</v>
      </c>
      <c r="N17" s="59" t="s">
        <v>135</v>
      </c>
      <c r="O17" s="60" t="s">
        <v>164</v>
      </c>
      <c r="P17" s="61" t="s">
        <v>165</v>
      </c>
    </row>
    <row r="18" spans="1:16" ht="12.75" customHeight="1" thickBot="1">
      <c r="A18" s="49" t="str">
        <f t="shared" si="0"/>
        <v>OEJV 0074 </v>
      </c>
      <c r="B18" s="16" t="str">
        <f t="shared" si="1"/>
        <v>I</v>
      </c>
      <c r="C18" s="49">
        <f t="shared" si="2"/>
        <v>52137.428970000001</v>
      </c>
      <c r="D18" s="15" t="str">
        <f t="shared" si="3"/>
        <v>vis</v>
      </c>
      <c r="E18" s="57">
        <f>VLOOKUP(C18,Active!C$21:E$973,3,FALSE)</f>
        <v>8783.9671405552308</v>
      </c>
      <c r="F18" s="16" t="s">
        <v>67</v>
      </c>
      <c r="G18" s="15" t="str">
        <f t="shared" si="4"/>
        <v>52137.42897</v>
      </c>
      <c r="H18" s="49">
        <f t="shared" si="5"/>
        <v>8784</v>
      </c>
      <c r="I18" s="58" t="s">
        <v>171</v>
      </c>
      <c r="J18" s="59" t="s">
        <v>172</v>
      </c>
      <c r="K18" s="58">
        <v>8784</v>
      </c>
      <c r="L18" s="58" t="s">
        <v>173</v>
      </c>
      <c r="M18" s="59" t="s">
        <v>158</v>
      </c>
      <c r="N18" s="59" t="s">
        <v>144</v>
      </c>
      <c r="O18" s="60" t="s">
        <v>159</v>
      </c>
      <c r="P18" s="61" t="s">
        <v>160</v>
      </c>
    </row>
    <row r="19" spans="1:16" ht="12.75" customHeight="1" thickBot="1">
      <c r="A19" s="49" t="str">
        <f t="shared" si="0"/>
        <v>IBVS 5676 </v>
      </c>
      <c r="B19" s="16" t="str">
        <f t="shared" si="1"/>
        <v>II</v>
      </c>
      <c r="C19" s="49">
        <f t="shared" si="2"/>
        <v>52688.651599999997</v>
      </c>
      <c r="D19" s="15" t="str">
        <f t="shared" si="3"/>
        <v>vis</v>
      </c>
      <c r="E19" s="57">
        <f>VLOOKUP(C19,Active!C$21:E$973,3,FALSE)</f>
        <v>9054.4651239754439</v>
      </c>
      <c r="F19" s="16" t="s">
        <v>67</v>
      </c>
      <c r="G19" s="15" t="str">
        <f t="shared" si="4"/>
        <v>52688.6516</v>
      </c>
      <c r="H19" s="49">
        <f t="shared" si="5"/>
        <v>9054.5</v>
      </c>
      <c r="I19" s="58" t="s">
        <v>174</v>
      </c>
      <c r="J19" s="59" t="s">
        <v>175</v>
      </c>
      <c r="K19" s="58">
        <v>9054.5</v>
      </c>
      <c r="L19" s="58" t="s">
        <v>176</v>
      </c>
      <c r="M19" s="59" t="s">
        <v>134</v>
      </c>
      <c r="N19" s="59" t="s">
        <v>135</v>
      </c>
      <c r="O19" s="60" t="s">
        <v>177</v>
      </c>
      <c r="P19" s="61" t="s">
        <v>178</v>
      </c>
    </row>
    <row r="20" spans="1:16" ht="12.75" customHeight="1" thickBot="1">
      <c r="A20" s="49" t="str">
        <f t="shared" si="0"/>
        <v>BAVM 172 </v>
      </c>
      <c r="B20" s="16" t="str">
        <f t="shared" si="1"/>
        <v>II</v>
      </c>
      <c r="C20" s="49">
        <f t="shared" si="2"/>
        <v>52839.448600000003</v>
      </c>
      <c r="D20" s="15" t="str">
        <f t="shared" si="3"/>
        <v>vis</v>
      </c>
      <c r="E20" s="57">
        <f>VLOOKUP(C20,Active!C$21:E$973,3,FALSE)</f>
        <v>9128.4647788985731</v>
      </c>
      <c r="F20" s="16" t="s">
        <v>67</v>
      </c>
      <c r="G20" s="15" t="str">
        <f t="shared" si="4"/>
        <v>52839.4486</v>
      </c>
      <c r="H20" s="49">
        <f t="shared" si="5"/>
        <v>9128.5</v>
      </c>
      <c r="I20" s="58" t="s">
        <v>179</v>
      </c>
      <c r="J20" s="59" t="s">
        <v>180</v>
      </c>
      <c r="K20" s="58">
        <v>9128.5</v>
      </c>
      <c r="L20" s="58" t="s">
        <v>181</v>
      </c>
      <c r="M20" s="59" t="s">
        <v>134</v>
      </c>
      <c r="N20" s="59" t="s">
        <v>144</v>
      </c>
      <c r="O20" s="60" t="s">
        <v>124</v>
      </c>
      <c r="P20" s="61" t="s">
        <v>182</v>
      </c>
    </row>
    <row r="21" spans="1:16" ht="12.75" customHeight="1" thickBot="1">
      <c r="A21" s="49" t="str">
        <f t="shared" si="0"/>
        <v>IBVS 5713 </v>
      </c>
      <c r="B21" s="16" t="str">
        <f t="shared" si="1"/>
        <v>I</v>
      </c>
      <c r="C21" s="49">
        <f t="shared" si="2"/>
        <v>53592.416100000002</v>
      </c>
      <c r="D21" s="15" t="str">
        <f t="shared" si="3"/>
        <v>vis</v>
      </c>
      <c r="E21" s="57">
        <f>VLOOKUP(C21,Active!C$21:E$973,3,FALSE)</f>
        <v>9497.9637421957796</v>
      </c>
      <c r="F21" s="16" t="s">
        <v>67</v>
      </c>
      <c r="G21" s="15" t="str">
        <f t="shared" si="4"/>
        <v>53592.4161</v>
      </c>
      <c r="H21" s="49">
        <f t="shared" si="5"/>
        <v>9498</v>
      </c>
      <c r="I21" s="58" t="s">
        <v>183</v>
      </c>
      <c r="J21" s="59" t="s">
        <v>184</v>
      </c>
      <c r="K21" s="58">
        <v>9498</v>
      </c>
      <c r="L21" s="58" t="s">
        <v>185</v>
      </c>
      <c r="M21" s="59" t="s">
        <v>134</v>
      </c>
      <c r="N21" s="59" t="s">
        <v>135</v>
      </c>
      <c r="O21" s="60" t="s">
        <v>169</v>
      </c>
      <c r="P21" s="61" t="s">
        <v>186</v>
      </c>
    </row>
    <row r="22" spans="1:16" ht="12.75" customHeight="1" thickBot="1">
      <c r="A22" s="49" t="str">
        <f t="shared" si="0"/>
        <v>BAVM 178 </v>
      </c>
      <c r="B22" s="16" t="str">
        <f t="shared" si="1"/>
        <v>I</v>
      </c>
      <c r="C22" s="49">
        <f t="shared" si="2"/>
        <v>53639.282200000001</v>
      </c>
      <c r="D22" s="15" t="str">
        <f t="shared" si="3"/>
        <v>vis</v>
      </c>
      <c r="E22" s="57">
        <f>VLOOKUP(C22,Active!C$21:E$973,3,FALSE)</f>
        <v>9520.9620460585393</v>
      </c>
      <c r="F22" s="16" t="s">
        <v>67</v>
      </c>
      <c r="G22" s="15" t="str">
        <f t="shared" si="4"/>
        <v>53639.2822</v>
      </c>
      <c r="H22" s="49">
        <f t="shared" si="5"/>
        <v>9521</v>
      </c>
      <c r="I22" s="58" t="s">
        <v>187</v>
      </c>
      <c r="J22" s="59" t="s">
        <v>188</v>
      </c>
      <c r="K22" s="58">
        <v>9521</v>
      </c>
      <c r="L22" s="58" t="s">
        <v>189</v>
      </c>
      <c r="M22" s="59" t="s">
        <v>158</v>
      </c>
      <c r="N22" s="59" t="s">
        <v>190</v>
      </c>
      <c r="O22" s="60" t="s">
        <v>124</v>
      </c>
      <c r="P22" s="61" t="s">
        <v>191</v>
      </c>
    </row>
    <row r="23" spans="1:16" ht="12.75" customHeight="1" thickBot="1">
      <c r="A23" s="49" t="str">
        <f t="shared" si="0"/>
        <v>BAVM 178 </v>
      </c>
      <c r="B23" s="16" t="str">
        <f t="shared" si="1"/>
        <v>II</v>
      </c>
      <c r="C23" s="49">
        <f t="shared" si="2"/>
        <v>53650.491000000002</v>
      </c>
      <c r="D23" s="15" t="str">
        <f t="shared" si="3"/>
        <v>vis</v>
      </c>
      <c r="E23" s="57">
        <f>VLOOKUP(C23,Active!C$21:E$973,3,FALSE)</f>
        <v>9526.4624693567639</v>
      </c>
      <c r="F23" s="16" t="s">
        <v>67</v>
      </c>
      <c r="G23" s="15" t="str">
        <f t="shared" si="4"/>
        <v>53650.4910</v>
      </c>
      <c r="H23" s="49">
        <f t="shared" si="5"/>
        <v>9526.5</v>
      </c>
      <c r="I23" s="58" t="s">
        <v>192</v>
      </c>
      <c r="J23" s="59" t="s">
        <v>193</v>
      </c>
      <c r="K23" s="58" t="s">
        <v>194</v>
      </c>
      <c r="L23" s="58" t="s">
        <v>195</v>
      </c>
      <c r="M23" s="59" t="s">
        <v>158</v>
      </c>
      <c r="N23" s="59" t="s">
        <v>190</v>
      </c>
      <c r="O23" s="60" t="s">
        <v>196</v>
      </c>
      <c r="P23" s="61" t="s">
        <v>191</v>
      </c>
    </row>
    <row r="24" spans="1:16" ht="12.75" customHeight="1" thickBot="1">
      <c r="A24" s="49" t="str">
        <f t="shared" si="0"/>
        <v> BBS 133 (=IBVS 5781) </v>
      </c>
      <c r="B24" s="16" t="str">
        <f t="shared" si="1"/>
        <v>I</v>
      </c>
      <c r="C24" s="49">
        <f t="shared" si="2"/>
        <v>53918.463600000003</v>
      </c>
      <c r="D24" s="15" t="str">
        <f t="shared" si="3"/>
        <v>vis</v>
      </c>
      <c r="E24" s="57">
        <f>VLOOKUP(C24,Active!C$21:E$973,3,FALSE)</f>
        <v>9657.9629629266165</v>
      </c>
      <c r="F24" s="16" t="s">
        <v>67</v>
      </c>
      <c r="G24" s="15" t="str">
        <f t="shared" si="4"/>
        <v>53918.4636</v>
      </c>
      <c r="H24" s="49">
        <f t="shared" si="5"/>
        <v>9658</v>
      </c>
      <c r="I24" s="58" t="s">
        <v>197</v>
      </c>
      <c r="J24" s="59" t="s">
        <v>198</v>
      </c>
      <c r="K24" s="58" t="s">
        <v>199</v>
      </c>
      <c r="L24" s="58" t="s">
        <v>200</v>
      </c>
      <c r="M24" s="59" t="s">
        <v>158</v>
      </c>
      <c r="N24" s="59" t="s">
        <v>67</v>
      </c>
      <c r="O24" s="60" t="s">
        <v>169</v>
      </c>
      <c r="P24" s="60" t="s">
        <v>201</v>
      </c>
    </row>
    <row r="25" spans="1:16" ht="12.75" customHeight="1" thickBot="1">
      <c r="A25" s="49" t="str">
        <f t="shared" si="0"/>
        <v>BAVM 178 </v>
      </c>
      <c r="B25" s="16" t="str">
        <f t="shared" si="1"/>
        <v>I</v>
      </c>
      <c r="C25" s="49">
        <f t="shared" si="2"/>
        <v>53920.501499999998</v>
      </c>
      <c r="D25" s="15" t="str">
        <f t="shared" si="3"/>
        <v>vis</v>
      </c>
      <c r="E25" s="57">
        <f>VLOOKUP(C25,Active!C$21:E$973,3,FALSE)</f>
        <v>9658.9630086620582</v>
      </c>
      <c r="F25" s="16" t="s">
        <v>67</v>
      </c>
      <c r="G25" s="15" t="str">
        <f t="shared" si="4"/>
        <v>53920.5015</v>
      </c>
      <c r="H25" s="49">
        <f t="shared" si="5"/>
        <v>9659</v>
      </c>
      <c r="I25" s="58" t="s">
        <v>202</v>
      </c>
      <c r="J25" s="59" t="s">
        <v>203</v>
      </c>
      <c r="K25" s="58" t="s">
        <v>204</v>
      </c>
      <c r="L25" s="58" t="s">
        <v>205</v>
      </c>
      <c r="M25" s="59" t="s">
        <v>158</v>
      </c>
      <c r="N25" s="59" t="s">
        <v>190</v>
      </c>
      <c r="O25" s="60" t="s">
        <v>196</v>
      </c>
      <c r="P25" s="61" t="s">
        <v>191</v>
      </c>
    </row>
    <row r="26" spans="1:16" ht="12.75" customHeight="1" thickBot="1">
      <c r="A26" s="49" t="str">
        <f t="shared" si="0"/>
        <v>IBVS 5837 </v>
      </c>
      <c r="B26" s="16" t="str">
        <f t="shared" si="1"/>
        <v>I</v>
      </c>
      <c r="C26" s="49">
        <f t="shared" si="2"/>
        <v>54295.4568</v>
      </c>
      <c r="D26" s="15" t="str">
        <f t="shared" si="3"/>
        <v>vis</v>
      </c>
      <c r="E26" s="57">
        <f>VLOOKUP(C26,Active!C$21:E$973,3,FALSE)</f>
        <v>9842.9624437409893</v>
      </c>
      <c r="F26" s="16" t="s">
        <v>67</v>
      </c>
      <c r="G26" s="15" t="str">
        <f t="shared" si="4"/>
        <v>54295.4568</v>
      </c>
      <c r="H26" s="49">
        <f t="shared" si="5"/>
        <v>9843</v>
      </c>
      <c r="I26" s="58" t="s">
        <v>206</v>
      </c>
      <c r="J26" s="59" t="s">
        <v>207</v>
      </c>
      <c r="K26" s="58" t="s">
        <v>208</v>
      </c>
      <c r="L26" s="58" t="s">
        <v>195</v>
      </c>
      <c r="M26" s="59" t="s">
        <v>158</v>
      </c>
      <c r="N26" s="59" t="s">
        <v>67</v>
      </c>
      <c r="O26" s="60" t="s">
        <v>169</v>
      </c>
      <c r="P26" s="61" t="s">
        <v>209</v>
      </c>
    </row>
    <row r="27" spans="1:16" ht="12.75" customHeight="1" thickBot="1">
      <c r="A27" s="49" t="str">
        <f t="shared" si="0"/>
        <v>IBVS 5835 </v>
      </c>
      <c r="B27" s="16" t="str">
        <f t="shared" si="1"/>
        <v>I</v>
      </c>
      <c r="C27" s="49">
        <f t="shared" si="2"/>
        <v>54397.3462</v>
      </c>
      <c r="D27" s="15" t="str">
        <f t="shared" si="3"/>
        <v>vis</v>
      </c>
      <c r="E27" s="57">
        <f>VLOOKUP(C27,Active!C$21:E$973,3,FALSE)</f>
        <v>9892.9619824607526</v>
      </c>
      <c r="F27" s="16" t="s">
        <v>67</v>
      </c>
      <c r="G27" s="15" t="str">
        <f t="shared" si="4"/>
        <v>54397.3462</v>
      </c>
      <c r="H27" s="49">
        <f t="shared" si="5"/>
        <v>9893</v>
      </c>
      <c r="I27" s="58" t="s">
        <v>215</v>
      </c>
      <c r="J27" s="59" t="s">
        <v>216</v>
      </c>
      <c r="K27" s="58" t="s">
        <v>217</v>
      </c>
      <c r="L27" s="58" t="s">
        <v>218</v>
      </c>
      <c r="M27" s="59" t="s">
        <v>158</v>
      </c>
      <c r="N27" s="59" t="s">
        <v>67</v>
      </c>
      <c r="O27" s="60" t="s">
        <v>219</v>
      </c>
      <c r="P27" s="61" t="s">
        <v>220</v>
      </c>
    </row>
    <row r="28" spans="1:16" ht="12.75" customHeight="1" thickBot="1">
      <c r="A28" s="49" t="str">
        <f t="shared" si="0"/>
        <v>IBVS 5933 </v>
      </c>
      <c r="B28" s="16" t="str">
        <f t="shared" si="1"/>
        <v>I</v>
      </c>
      <c r="C28" s="49">
        <f t="shared" si="2"/>
        <v>54994.421600000001</v>
      </c>
      <c r="D28" s="15" t="str">
        <f t="shared" si="3"/>
        <v>vis</v>
      </c>
      <c r="E28" s="57">
        <f>VLOOKUP(C28,Active!C$21:E$973,3,FALSE)</f>
        <v>10185.961004742945</v>
      </c>
      <c r="F28" s="16" t="s">
        <v>67</v>
      </c>
      <c r="G28" s="15" t="str">
        <f t="shared" si="4"/>
        <v>54994.4216</v>
      </c>
      <c r="H28" s="49">
        <f t="shared" si="5"/>
        <v>10186</v>
      </c>
      <c r="I28" s="58" t="s">
        <v>221</v>
      </c>
      <c r="J28" s="59" t="s">
        <v>222</v>
      </c>
      <c r="K28" s="58" t="s">
        <v>223</v>
      </c>
      <c r="L28" s="58" t="s">
        <v>224</v>
      </c>
      <c r="M28" s="59" t="s">
        <v>158</v>
      </c>
      <c r="N28" s="59" t="s">
        <v>67</v>
      </c>
      <c r="O28" s="60" t="s">
        <v>225</v>
      </c>
      <c r="P28" s="61" t="s">
        <v>226</v>
      </c>
    </row>
    <row r="29" spans="1:16" ht="12.75" customHeight="1" thickBot="1">
      <c r="A29" s="49" t="str">
        <f t="shared" si="0"/>
        <v>IBVS 5933 </v>
      </c>
      <c r="B29" s="16" t="str">
        <f t="shared" si="1"/>
        <v>II</v>
      </c>
      <c r="C29" s="49">
        <f t="shared" si="2"/>
        <v>54995.441700000003</v>
      </c>
      <c r="D29" s="15" t="str">
        <f t="shared" si="3"/>
        <v>vis</v>
      </c>
      <c r="E29" s="57">
        <f>VLOOKUP(C29,Active!C$21:E$973,3,FALSE)</f>
        <v>10186.461591942871</v>
      </c>
      <c r="F29" s="16" t="s">
        <v>67</v>
      </c>
      <c r="G29" s="15" t="str">
        <f t="shared" si="4"/>
        <v>54995.4417</v>
      </c>
      <c r="H29" s="49">
        <f t="shared" si="5"/>
        <v>10186.5</v>
      </c>
      <c r="I29" s="58" t="s">
        <v>227</v>
      </c>
      <c r="J29" s="59" t="s">
        <v>228</v>
      </c>
      <c r="K29" s="58" t="s">
        <v>229</v>
      </c>
      <c r="L29" s="58" t="s">
        <v>230</v>
      </c>
      <c r="M29" s="59" t="s">
        <v>158</v>
      </c>
      <c r="N29" s="59" t="s">
        <v>67</v>
      </c>
      <c r="O29" s="60" t="s">
        <v>225</v>
      </c>
      <c r="P29" s="61" t="s">
        <v>226</v>
      </c>
    </row>
    <row r="30" spans="1:16" ht="12.75" customHeight="1" thickBot="1">
      <c r="A30" s="49" t="str">
        <f t="shared" si="0"/>
        <v>BAVM 214 </v>
      </c>
      <c r="B30" s="16" t="str">
        <f t="shared" si="1"/>
        <v>I</v>
      </c>
      <c r="C30" s="49">
        <f t="shared" si="2"/>
        <v>55375.490899999997</v>
      </c>
      <c r="D30" s="15" t="str">
        <f t="shared" si="3"/>
        <v>vis</v>
      </c>
      <c r="E30" s="57">
        <f>VLOOKUP(C30,Active!C$21:E$973,3,FALSE)</f>
        <v>10372.960724245302</v>
      </c>
      <c r="F30" s="16" t="s">
        <v>67</v>
      </c>
      <c r="G30" s="15" t="str">
        <f t="shared" si="4"/>
        <v>55375.4909</v>
      </c>
      <c r="H30" s="49">
        <f t="shared" si="5"/>
        <v>10373</v>
      </c>
      <c r="I30" s="58" t="s">
        <v>236</v>
      </c>
      <c r="J30" s="59" t="s">
        <v>237</v>
      </c>
      <c r="K30" s="58" t="s">
        <v>238</v>
      </c>
      <c r="L30" s="58" t="s">
        <v>239</v>
      </c>
      <c r="M30" s="59" t="s">
        <v>158</v>
      </c>
      <c r="N30" s="59" t="s">
        <v>190</v>
      </c>
      <c r="O30" s="60" t="s">
        <v>196</v>
      </c>
      <c r="P30" s="61" t="s">
        <v>240</v>
      </c>
    </row>
    <row r="31" spans="1:16" ht="12.75" customHeight="1" thickBot="1">
      <c r="A31" s="49" t="str">
        <f t="shared" si="0"/>
        <v>BAVM 214 </v>
      </c>
      <c r="B31" s="16" t="str">
        <f t="shared" si="1"/>
        <v>II</v>
      </c>
      <c r="C31" s="49">
        <f t="shared" si="2"/>
        <v>55376.509299999998</v>
      </c>
      <c r="D31" s="15" t="str">
        <f t="shared" si="3"/>
        <v>vis</v>
      </c>
      <c r="E31" s="57">
        <f>VLOOKUP(C31,Active!C$21:E$973,3,FALSE)</f>
        <v>10373.460477215014</v>
      </c>
      <c r="F31" s="16" t="s">
        <v>67</v>
      </c>
      <c r="G31" s="15" t="str">
        <f t="shared" si="4"/>
        <v>55376.5093</v>
      </c>
      <c r="H31" s="49">
        <f t="shared" si="5"/>
        <v>10373.5</v>
      </c>
      <c r="I31" s="58" t="s">
        <v>241</v>
      </c>
      <c r="J31" s="59" t="s">
        <v>242</v>
      </c>
      <c r="K31" s="58" t="s">
        <v>243</v>
      </c>
      <c r="L31" s="58" t="s">
        <v>244</v>
      </c>
      <c r="M31" s="59" t="s">
        <v>158</v>
      </c>
      <c r="N31" s="59" t="s">
        <v>190</v>
      </c>
      <c r="O31" s="60" t="s">
        <v>196</v>
      </c>
      <c r="P31" s="61" t="s">
        <v>240</v>
      </c>
    </row>
    <row r="32" spans="1:16" ht="12.75" customHeight="1" thickBot="1">
      <c r="A32" s="49" t="str">
        <f t="shared" si="0"/>
        <v>BAVM 215 </v>
      </c>
      <c r="B32" s="16" t="str">
        <f t="shared" si="1"/>
        <v>II</v>
      </c>
      <c r="C32" s="49">
        <f t="shared" si="2"/>
        <v>55429.494200000001</v>
      </c>
      <c r="D32" s="15" t="str">
        <f t="shared" si="3"/>
        <v>vis</v>
      </c>
      <c r="E32" s="57">
        <f>VLOOKUP(C32,Active!C$21:E$973,3,FALSE)</f>
        <v>10399.461420974749</v>
      </c>
      <c r="F32" s="16" t="s">
        <v>67</v>
      </c>
      <c r="G32" s="15" t="str">
        <f t="shared" si="4"/>
        <v>55429.4942</v>
      </c>
      <c r="H32" s="49">
        <f t="shared" si="5"/>
        <v>10399.5</v>
      </c>
      <c r="I32" s="58" t="s">
        <v>245</v>
      </c>
      <c r="J32" s="59" t="s">
        <v>246</v>
      </c>
      <c r="K32" s="58" t="s">
        <v>247</v>
      </c>
      <c r="L32" s="58" t="s">
        <v>248</v>
      </c>
      <c r="M32" s="59" t="s">
        <v>158</v>
      </c>
      <c r="N32" s="59" t="s">
        <v>190</v>
      </c>
      <c r="O32" s="60" t="s">
        <v>196</v>
      </c>
      <c r="P32" s="61" t="s">
        <v>249</v>
      </c>
    </row>
    <row r="33" spans="1:16" ht="12.75" customHeight="1" thickBot="1">
      <c r="A33" s="49" t="str">
        <f t="shared" si="0"/>
        <v>BAVM 215 </v>
      </c>
      <c r="B33" s="16" t="str">
        <f t="shared" si="1"/>
        <v>I</v>
      </c>
      <c r="C33" s="49">
        <f t="shared" si="2"/>
        <v>55430.5101</v>
      </c>
      <c r="D33" s="15" t="str">
        <f t="shared" si="3"/>
        <v>vis</v>
      </c>
      <c r="E33" s="57">
        <f>VLOOKUP(C33,Active!C$21:E$973,3,FALSE)</f>
        <v>10399.959947135323</v>
      </c>
      <c r="F33" s="16" t="s">
        <v>67</v>
      </c>
      <c r="G33" s="15" t="str">
        <f t="shared" si="4"/>
        <v>55430.5101</v>
      </c>
      <c r="H33" s="49">
        <f t="shared" si="5"/>
        <v>10400</v>
      </c>
      <c r="I33" s="58" t="s">
        <v>250</v>
      </c>
      <c r="J33" s="59" t="s">
        <v>251</v>
      </c>
      <c r="K33" s="58" t="s">
        <v>252</v>
      </c>
      <c r="L33" s="58" t="s">
        <v>253</v>
      </c>
      <c r="M33" s="59" t="s">
        <v>158</v>
      </c>
      <c r="N33" s="59" t="s">
        <v>190</v>
      </c>
      <c r="O33" s="60" t="s">
        <v>196</v>
      </c>
      <c r="P33" s="61" t="s">
        <v>249</v>
      </c>
    </row>
    <row r="34" spans="1:16" ht="12.75" customHeight="1" thickBot="1">
      <c r="A34" s="49" t="str">
        <f t="shared" si="0"/>
        <v>BAVM 239 </v>
      </c>
      <c r="B34" s="16" t="str">
        <f t="shared" si="1"/>
        <v>I</v>
      </c>
      <c r="C34" s="49">
        <f t="shared" si="2"/>
        <v>56730.627500000002</v>
      </c>
      <c r="D34" s="15" t="str">
        <f t="shared" si="3"/>
        <v>vis</v>
      </c>
      <c r="E34" s="57">
        <f>VLOOKUP(C34,Active!C$21:E$973,3,FALSE)</f>
        <v>11037.958308903477</v>
      </c>
      <c r="F34" s="16" t="s">
        <v>67</v>
      </c>
      <c r="G34" s="15" t="str">
        <f t="shared" si="4"/>
        <v>56730.6275</v>
      </c>
      <c r="H34" s="49">
        <f t="shared" si="5"/>
        <v>11038</v>
      </c>
      <c r="I34" s="58" t="s">
        <v>259</v>
      </c>
      <c r="J34" s="59" t="s">
        <v>260</v>
      </c>
      <c r="K34" s="58" t="s">
        <v>261</v>
      </c>
      <c r="L34" s="58" t="s">
        <v>262</v>
      </c>
      <c r="M34" s="59" t="s">
        <v>158</v>
      </c>
      <c r="N34" s="59" t="s">
        <v>144</v>
      </c>
      <c r="O34" s="60" t="s">
        <v>263</v>
      </c>
      <c r="P34" s="61" t="s">
        <v>264</v>
      </c>
    </row>
    <row r="35" spans="1:16" ht="12.75" customHeight="1" thickBot="1">
      <c r="A35" s="49" t="str">
        <f t="shared" si="0"/>
        <v>BAVM 239 </v>
      </c>
      <c r="B35" s="16" t="str">
        <f t="shared" si="1"/>
        <v>II</v>
      </c>
      <c r="C35" s="49">
        <f t="shared" si="2"/>
        <v>56929.3128</v>
      </c>
      <c r="D35" s="15" t="str">
        <f t="shared" si="3"/>
        <v>vis</v>
      </c>
      <c r="E35" s="57">
        <f>VLOOKUP(C35,Active!C$21:E$973,3,FALSE)</f>
        <v>11135.457885408961</v>
      </c>
      <c r="F35" s="16" t="s">
        <v>67</v>
      </c>
      <c r="G35" s="15" t="str">
        <f t="shared" si="4"/>
        <v>56929.3128</v>
      </c>
      <c r="H35" s="49">
        <f t="shared" si="5"/>
        <v>11135.5</v>
      </c>
      <c r="I35" s="58" t="s">
        <v>265</v>
      </c>
      <c r="J35" s="59" t="s">
        <v>266</v>
      </c>
      <c r="K35" s="58" t="s">
        <v>267</v>
      </c>
      <c r="L35" s="58" t="s">
        <v>268</v>
      </c>
      <c r="M35" s="59" t="s">
        <v>158</v>
      </c>
      <c r="N35" s="59" t="s">
        <v>190</v>
      </c>
      <c r="O35" s="60" t="s">
        <v>196</v>
      </c>
      <c r="P35" s="61" t="s">
        <v>264</v>
      </c>
    </row>
    <row r="36" spans="1:16" ht="12.75" customHeight="1" thickBot="1">
      <c r="A36" s="49" t="str">
        <f t="shared" si="0"/>
        <v>BAVM 239 </v>
      </c>
      <c r="B36" s="16" t="str">
        <f t="shared" si="1"/>
        <v>I</v>
      </c>
      <c r="C36" s="49">
        <f t="shared" si="2"/>
        <v>56930.331400000003</v>
      </c>
      <c r="D36" s="15" t="str">
        <f t="shared" si="3"/>
        <v>vis</v>
      </c>
      <c r="E36" s="57">
        <f>VLOOKUP(C36,Active!C$21:E$973,3,FALSE)</f>
        <v>11135.957736523407</v>
      </c>
      <c r="F36" s="16" t="s">
        <v>67</v>
      </c>
      <c r="G36" s="15" t="str">
        <f t="shared" si="4"/>
        <v>56930.3314</v>
      </c>
      <c r="H36" s="49">
        <f t="shared" si="5"/>
        <v>11136</v>
      </c>
      <c r="I36" s="58" t="s">
        <v>269</v>
      </c>
      <c r="J36" s="59" t="s">
        <v>270</v>
      </c>
      <c r="K36" s="58" t="s">
        <v>271</v>
      </c>
      <c r="L36" s="58" t="s">
        <v>272</v>
      </c>
      <c r="M36" s="59" t="s">
        <v>158</v>
      </c>
      <c r="N36" s="59" t="s">
        <v>190</v>
      </c>
      <c r="O36" s="60" t="s">
        <v>196</v>
      </c>
      <c r="P36" s="61" t="s">
        <v>264</v>
      </c>
    </row>
    <row r="37" spans="1:16" ht="12.75" customHeight="1" thickBot="1">
      <c r="A37" s="49" t="str">
        <f t="shared" si="0"/>
        <v> AHSB 6.1.48 </v>
      </c>
      <c r="B37" s="16" t="str">
        <f t="shared" si="1"/>
        <v>I</v>
      </c>
      <c r="C37" s="49">
        <f t="shared" si="2"/>
        <v>33487.49</v>
      </c>
      <c r="D37" s="15" t="str">
        <f t="shared" si="3"/>
        <v>vis</v>
      </c>
      <c r="E37" s="57">
        <f>VLOOKUP(C37,Active!C$21:E$973,3,FALSE)</f>
        <v>-367.99906644731982</v>
      </c>
      <c r="F37" s="16" t="s">
        <v>67</v>
      </c>
      <c r="G37" s="15" t="str">
        <f t="shared" si="4"/>
        <v>33487.490</v>
      </c>
      <c r="H37" s="49">
        <f t="shared" si="5"/>
        <v>-368</v>
      </c>
      <c r="I37" s="58" t="s">
        <v>71</v>
      </c>
      <c r="J37" s="59" t="s">
        <v>72</v>
      </c>
      <c r="K37" s="58">
        <v>-368</v>
      </c>
      <c r="L37" s="58" t="s">
        <v>73</v>
      </c>
      <c r="M37" s="59" t="s">
        <v>74</v>
      </c>
      <c r="N37" s="59"/>
      <c r="O37" s="60" t="s">
        <v>75</v>
      </c>
      <c r="P37" s="60" t="s">
        <v>76</v>
      </c>
    </row>
    <row r="38" spans="1:16" ht="12.75" customHeight="1" thickBot="1">
      <c r="A38" s="49" t="str">
        <f t="shared" si="0"/>
        <v> AHSB 6.1.48 </v>
      </c>
      <c r="B38" s="16" t="str">
        <f t="shared" si="1"/>
        <v>I</v>
      </c>
      <c r="C38" s="49">
        <f t="shared" si="2"/>
        <v>33534.345000000001</v>
      </c>
      <c r="D38" s="15" t="str">
        <f t="shared" si="3"/>
        <v>vis</v>
      </c>
      <c r="E38" s="57">
        <f>VLOOKUP(C38,Active!C$21:E$973,3,FALSE)</f>
        <v>-345.00620961712218</v>
      </c>
      <c r="F38" s="16" t="s">
        <v>67</v>
      </c>
      <c r="G38" s="15" t="str">
        <f t="shared" si="4"/>
        <v>33534.345</v>
      </c>
      <c r="H38" s="49">
        <f t="shared" si="5"/>
        <v>-345</v>
      </c>
      <c r="I38" s="58" t="s">
        <v>77</v>
      </c>
      <c r="J38" s="59" t="s">
        <v>78</v>
      </c>
      <c r="K38" s="58">
        <v>-345</v>
      </c>
      <c r="L38" s="58" t="s">
        <v>79</v>
      </c>
      <c r="M38" s="59" t="s">
        <v>74</v>
      </c>
      <c r="N38" s="59"/>
      <c r="O38" s="60" t="s">
        <v>75</v>
      </c>
      <c r="P38" s="60" t="s">
        <v>76</v>
      </c>
    </row>
    <row r="39" spans="1:16" ht="12.75" customHeight="1" thickBot="1">
      <c r="A39" s="49" t="str">
        <f t="shared" si="0"/>
        <v> AHSB 6.1.48 </v>
      </c>
      <c r="B39" s="16" t="str">
        <f t="shared" si="1"/>
        <v>I</v>
      </c>
      <c r="C39" s="49">
        <f t="shared" si="2"/>
        <v>33538.434999999998</v>
      </c>
      <c r="D39" s="15" t="str">
        <f t="shared" si="3"/>
        <v>vis</v>
      </c>
      <c r="E39" s="57">
        <f>VLOOKUP(C39,Active!C$21:E$973,3,FALSE)</f>
        <v>-342.99914987034123</v>
      </c>
      <c r="F39" s="16" t="s">
        <v>67</v>
      </c>
      <c r="G39" s="15" t="str">
        <f t="shared" si="4"/>
        <v>33538.435</v>
      </c>
      <c r="H39" s="49">
        <f t="shared" si="5"/>
        <v>-343</v>
      </c>
      <c r="I39" s="58" t="s">
        <v>80</v>
      </c>
      <c r="J39" s="59" t="s">
        <v>81</v>
      </c>
      <c r="K39" s="58">
        <v>-343</v>
      </c>
      <c r="L39" s="58" t="s">
        <v>73</v>
      </c>
      <c r="M39" s="59" t="s">
        <v>74</v>
      </c>
      <c r="N39" s="59"/>
      <c r="O39" s="60" t="s">
        <v>75</v>
      </c>
      <c r="P39" s="60" t="s">
        <v>76</v>
      </c>
    </row>
    <row r="40" spans="1:16" ht="12.75" customHeight="1" thickBot="1">
      <c r="A40" s="49" t="str">
        <f t="shared" si="0"/>
        <v> AHSB 6.1.48 </v>
      </c>
      <c r="B40" s="16" t="str">
        <f t="shared" si="1"/>
        <v>I</v>
      </c>
      <c r="C40" s="49">
        <f t="shared" si="2"/>
        <v>34133.466</v>
      </c>
      <c r="D40" s="15" t="str">
        <f t="shared" si="3"/>
        <v>vis</v>
      </c>
      <c r="E40" s="57">
        <f>VLOOKUP(C40,Active!C$21:E$973,3,FALSE)</f>
        <v>-51.003363027347675</v>
      </c>
      <c r="F40" s="16" t="s">
        <v>67</v>
      </c>
      <c r="G40" s="15" t="str">
        <f t="shared" si="4"/>
        <v>34133.466</v>
      </c>
      <c r="H40" s="49">
        <f t="shared" si="5"/>
        <v>-51</v>
      </c>
      <c r="I40" s="58" t="s">
        <v>82</v>
      </c>
      <c r="J40" s="59" t="s">
        <v>83</v>
      </c>
      <c r="K40" s="58">
        <v>-51</v>
      </c>
      <c r="L40" s="58" t="s">
        <v>84</v>
      </c>
      <c r="M40" s="59" t="s">
        <v>74</v>
      </c>
      <c r="N40" s="59"/>
      <c r="O40" s="60" t="s">
        <v>75</v>
      </c>
      <c r="P40" s="60" t="s">
        <v>76</v>
      </c>
    </row>
    <row r="41" spans="1:16" ht="12.75" customHeight="1" thickBot="1">
      <c r="A41" s="49" t="str">
        <f t="shared" si="0"/>
        <v> AHSB 6.1.48 </v>
      </c>
      <c r="B41" s="16" t="str">
        <f t="shared" si="1"/>
        <v>I</v>
      </c>
      <c r="C41" s="49">
        <f t="shared" si="2"/>
        <v>34237.396999999997</v>
      </c>
      <c r="D41" s="15" t="str">
        <f t="shared" si="3"/>
        <v>vis</v>
      </c>
      <c r="E41" s="57">
        <f>VLOOKUP(C41,Active!C$21:E$973,3,FALSE)</f>
        <v>-1.9628946182802549E-3</v>
      </c>
      <c r="F41" s="16" t="s">
        <v>67</v>
      </c>
      <c r="G41" s="15" t="str">
        <f t="shared" si="4"/>
        <v>34237.397</v>
      </c>
      <c r="H41" s="49">
        <f t="shared" si="5"/>
        <v>0</v>
      </c>
      <c r="I41" s="58" t="s">
        <v>85</v>
      </c>
      <c r="J41" s="59" t="s">
        <v>86</v>
      </c>
      <c r="K41" s="58">
        <v>0</v>
      </c>
      <c r="L41" s="58" t="s">
        <v>87</v>
      </c>
      <c r="M41" s="59" t="s">
        <v>74</v>
      </c>
      <c r="N41" s="59"/>
      <c r="O41" s="60" t="s">
        <v>75</v>
      </c>
      <c r="P41" s="60" t="s">
        <v>76</v>
      </c>
    </row>
    <row r="42" spans="1:16" ht="12.75" customHeight="1" thickBot="1">
      <c r="A42" s="49" t="str">
        <f t="shared" si="0"/>
        <v> AHSB 6.1.48 </v>
      </c>
      <c r="B42" s="16" t="str">
        <f t="shared" si="1"/>
        <v>I</v>
      </c>
      <c r="C42" s="49">
        <f t="shared" si="2"/>
        <v>34239.442999999999</v>
      </c>
      <c r="D42" s="15" t="str">
        <f t="shared" si="3"/>
        <v>vis</v>
      </c>
      <c r="E42" s="57">
        <f>VLOOKUP(C42,Active!C$21:E$973,3,FALSE)</f>
        <v>1.0020577024285524</v>
      </c>
      <c r="F42" s="16" t="s">
        <v>67</v>
      </c>
      <c r="G42" s="15" t="str">
        <f t="shared" si="4"/>
        <v>34239.443</v>
      </c>
      <c r="H42" s="49">
        <f t="shared" si="5"/>
        <v>1</v>
      </c>
      <c r="I42" s="58" t="s">
        <v>88</v>
      </c>
      <c r="J42" s="59" t="s">
        <v>89</v>
      </c>
      <c r="K42" s="58">
        <v>1</v>
      </c>
      <c r="L42" s="58" t="s">
        <v>90</v>
      </c>
      <c r="M42" s="59" t="s">
        <v>74</v>
      </c>
      <c r="N42" s="59"/>
      <c r="O42" s="60" t="s">
        <v>75</v>
      </c>
      <c r="P42" s="60" t="s">
        <v>76</v>
      </c>
    </row>
    <row r="43" spans="1:16" ht="12.75" customHeight="1" thickBot="1">
      <c r="A43" s="49" t="str">
        <f t="shared" si="0"/>
        <v> AHSB 6.1.48 </v>
      </c>
      <c r="B43" s="16" t="str">
        <f t="shared" si="1"/>
        <v>I</v>
      </c>
      <c r="C43" s="49">
        <f t="shared" si="2"/>
        <v>34987.319000000003</v>
      </c>
      <c r="D43" s="15" t="str">
        <f t="shared" si="3"/>
        <v>vis</v>
      </c>
      <c r="E43" s="57">
        <f>VLOOKUP(C43,Active!C$21:E$973,3,FALSE)</f>
        <v>368.00250151290356</v>
      </c>
      <c r="F43" s="16" t="s">
        <v>67</v>
      </c>
      <c r="G43" s="15" t="str">
        <f t="shared" si="4"/>
        <v>34987.319</v>
      </c>
      <c r="H43" s="49">
        <f t="shared" si="5"/>
        <v>368</v>
      </c>
      <c r="I43" s="58" t="s">
        <v>91</v>
      </c>
      <c r="J43" s="59" t="s">
        <v>92</v>
      </c>
      <c r="K43" s="58">
        <v>368</v>
      </c>
      <c r="L43" s="58" t="s">
        <v>93</v>
      </c>
      <c r="M43" s="59" t="s">
        <v>74</v>
      </c>
      <c r="N43" s="59"/>
      <c r="O43" s="60" t="s">
        <v>75</v>
      </c>
      <c r="P43" s="60" t="s">
        <v>76</v>
      </c>
    </row>
    <row r="44" spans="1:16" ht="12.75" customHeight="1" thickBot="1">
      <c r="A44" s="49" t="str">
        <f t="shared" si="0"/>
        <v> AHSB 6.1.48 </v>
      </c>
      <c r="B44" s="16" t="str">
        <f t="shared" si="1"/>
        <v>I</v>
      </c>
      <c r="C44" s="49">
        <f t="shared" si="2"/>
        <v>35044.374000000003</v>
      </c>
      <c r="D44" s="15" t="str">
        <f t="shared" si="3"/>
        <v>vis</v>
      </c>
      <c r="E44" s="57">
        <f>VLOOKUP(C44,Active!C$21:E$973,3,FALSE)</f>
        <v>396.00073961869469</v>
      </c>
      <c r="F44" s="16" t="s">
        <v>67</v>
      </c>
      <c r="G44" s="15" t="str">
        <f t="shared" si="4"/>
        <v>35044.374</v>
      </c>
      <c r="H44" s="49">
        <f t="shared" si="5"/>
        <v>396</v>
      </c>
      <c r="I44" s="58" t="s">
        <v>94</v>
      </c>
      <c r="J44" s="59" t="s">
        <v>95</v>
      </c>
      <c r="K44" s="58">
        <v>396</v>
      </c>
      <c r="L44" s="58" t="s">
        <v>73</v>
      </c>
      <c r="M44" s="59" t="s">
        <v>74</v>
      </c>
      <c r="N44" s="59"/>
      <c r="O44" s="60" t="s">
        <v>75</v>
      </c>
      <c r="P44" s="60" t="s">
        <v>76</v>
      </c>
    </row>
    <row r="45" spans="1:16" ht="12.75" customHeight="1" thickBot="1">
      <c r="A45" s="49" t="str">
        <f t="shared" si="0"/>
        <v> AHSB 6.1.48 </v>
      </c>
      <c r="B45" s="16" t="str">
        <f t="shared" si="1"/>
        <v>I</v>
      </c>
      <c r="C45" s="49">
        <f t="shared" si="2"/>
        <v>35162.576000000001</v>
      </c>
      <c r="D45" s="15" t="str">
        <f t="shared" si="3"/>
        <v>vis</v>
      </c>
      <c r="E45" s="57">
        <f>VLOOKUP(C45,Active!C$21:E$973,3,FALSE)</f>
        <v>454.0052570243671</v>
      </c>
      <c r="F45" s="16" t="s">
        <v>67</v>
      </c>
      <c r="G45" s="15" t="str">
        <f t="shared" si="4"/>
        <v>35162.576</v>
      </c>
      <c r="H45" s="49">
        <f t="shared" si="5"/>
        <v>454</v>
      </c>
      <c r="I45" s="58" t="s">
        <v>96</v>
      </c>
      <c r="J45" s="59" t="s">
        <v>97</v>
      </c>
      <c r="K45" s="58">
        <v>454</v>
      </c>
      <c r="L45" s="58" t="s">
        <v>98</v>
      </c>
      <c r="M45" s="59" t="s">
        <v>74</v>
      </c>
      <c r="N45" s="59"/>
      <c r="O45" s="60" t="s">
        <v>75</v>
      </c>
      <c r="P45" s="60" t="s">
        <v>76</v>
      </c>
    </row>
    <row r="46" spans="1:16" ht="12.75" customHeight="1" thickBot="1">
      <c r="A46" s="49" t="str">
        <f t="shared" si="0"/>
        <v> AHSB 6.1.48 </v>
      </c>
      <c r="B46" s="16" t="str">
        <f t="shared" si="1"/>
        <v>I</v>
      </c>
      <c r="C46" s="49">
        <f t="shared" si="2"/>
        <v>35317.446000000004</v>
      </c>
      <c r="D46" s="15" t="str">
        <f t="shared" si="3"/>
        <v>vis</v>
      </c>
      <c r="E46" s="57">
        <f>VLOOKUP(C46,Active!C$21:E$973,3,FALSE)</f>
        <v>530.0036293921512</v>
      </c>
      <c r="F46" s="16" t="s">
        <v>67</v>
      </c>
      <c r="G46" s="15" t="str">
        <f t="shared" si="4"/>
        <v>35317.446</v>
      </c>
      <c r="H46" s="49">
        <f t="shared" si="5"/>
        <v>530</v>
      </c>
      <c r="I46" s="58" t="s">
        <v>99</v>
      </c>
      <c r="J46" s="59" t="s">
        <v>100</v>
      </c>
      <c r="K46" s="58">
        <v>530</v>
      </c>
      <c r="L46" s="58" t="s">
        <v>101</v>
      </c>
      <c r="M46" s="59" t="s">
        <v>74</v>
      </c>
      <c r="N46" s="59"/>
      <c r="O46" s="60" t="s">
        <v>75</v>
      </c>
      <c r="P46" s="60" t="s">
        <v>76</v>
      </c>
    </row>
    <row r="47" spans="1:16" ht="12.75" customHeight="1" thickBot="1">
      <c r="A47" s="49" t="str">
        <f t="shared" si="0"/>
        <v> AHSB 6.1.48 </v>
      </c>
      <c r="B47" s="16" t="str">
        <f t="shared" si="1"/>
        <v>I</v>
      </c>
      <c r="C47" s="49">
        <f t="shared" si="2"/>
        <v>35370.428</v>
      </c>
      <c r="D47" s="15" t="str">
        <f t="shared" si="3"/>
        <v>vis</v>
      </c>
      <c r="E47" s="57">
        <f>VLOOKUP(C47,Active!C$21:E$973,3,FALSE)</f>
        <v>556.00315005328378</v>
      </c>
      <c r="F47" s="16" t="s">
        <v>67</v>
      </c>
      <c r="G47" s="15" t="str">
        <f t="shared" si="4"/>
        <v>35370.428</v>
      </c>
      <c r="H47" s="49">
        <f t="shared" si="5"/>
        <v>556</v>
      </c>
      <c r="I47" s="58" t="s">
        <v>102</v>
      </c>
      <c r="J47" s="59" t="s">
        <v>103</v>
      </c>
      <c r="K47" s="58">
        <v>556</v>
      </c>
      <c r="L47" s="58" t="s">
        <v>104</v>
      </c>
      <c r="M47" s="59" t="s">
        <v>74</v>
      </c>
      <c r="N47" s="59"/>
      <c r="O47" s="60" t="s">
        <v>75</v>
      </c>
      <c r="P47" s="60" t="s">
        <v>76</v>
      </c>
    </row>
    <row r="48" spans="1:16" ht="12.75" customHeight="1" thickBot="1">
      <c r="A48" s="49" t="str">
        <f t="shared" si="0"/>
        <v> AHSB 6.1.48 </v>
      </c>
      <c r="B48" s="16" t="str">
        <f t="shared" si="1"/>
        <v>I</v>
      </c>
      <c r="C48" s="49">
        <f t="shared" si="2"/>
        <v>35374.483999999997</v>
      </c>
      <c r="D48" s="15" t="str">
        <f t="shared" si="3"/>
        <v>vis</v>
      </c>
      <c r="E48" s="57">
        <f>VLOOKUP(C48,Active!C$21:E$973,3,FALSE)</f>
        <v>557.99352519581294</v>
      </c>
      <c r="F48" s="16" t="s">
        <v>67</v>
      </c>
      <c r="G48" s="15" t="str">
        <f t="shared" si="4"/>
        <v>35374.484</v>
      </c>
      <c r="H48" s="49">
        <f t="shared" si="5"/>
        <v>558</v>
      </c>
      <c r="I48" s="58" t="s">
        <v>105</v>
      </c>
      <c r="J48" s="59" t="s">
        <v>106</v>
      </c>
      <c r="K48" s="58">
        <v>558</v>
      </c>
      <c r="L48" s="58" t="s">
        <v>79</v>
      </c>
      <c r="M48" s="59" t="s">
        <v>74</v>
      </c>
      <c r="N48" s="59"/>
      <c r="O48" s="60" t="s">
        <v>75</v>
      </c>
      <c r="P48" s="60" t="s">
        <v>76</v>
      </c>
    </row>
    <row r="49" spans="1:16" ht="12.75" customHeight="1" thickBot="1">
      <c r="A49" s="49" t="str">
        <f t="shared" si="0"/>
        <v> AHSB 6.1.48 </v>
      </c>
      <c r="B49" s="16" t="str">
        <f t="shared" si="1"/>
        <v>I</v>
      </c>
      <c r="C49" s="49">
        <f t="shared" si="2"/>
        <v>36819.298999999999</v>
      </c>
      <c r="D49" s="15" t="str">
        <f t="shared" si="3"/>
        <v>vis</v>
      </c>
      <c r="E49" s="57">
        <f>VLOOKUP(C49,Active!C$21:E$973,3,FALSE)</f>
        <v>1266.9984220290173</v>
      </c>
      <c r="F49" s="16" t="s">
        <v>67</v>
      </c>
      <c r="G49" s="15" t="str">
        <f t="shared" si="4"/>
        <v>36819.299</v>
      </c>
      <c r="H49" s="49">
        <f t="shared" si="5"/>
        <v>1267</v>
      </c>
      <c r="I49" s="58" t="s">
        <v>107</v>
      </c>
      <c r="J49" s="59" t="s">
        <v>108</v>
      </c>
      <c r="K49" s="58">
        <v>1267</v>
      </c>
      <c r="L49" s="58" t="s">
        <v>69</v>
      </c>
      <c r="M49" s="59" t="s">
        <v>74</v>
      </c>
      <c r="N49" s="59"/>
      <c r="O49" s="60" t="s">
        <v>75</v>
      </c>
      <c r="P49" s="60" t="s">
        <v>76</v>
      </c>
    </row>
    <row r="50" spans="1:16" ht="12.75" customHeight="1" thickBot="1">
      <c r="A50" s="49" t="str">
        <f t="shared" si="0"/>
        <v>BAVM 52 </v>
      </c>
      <c r="B50" s="16" t="str">
        <f t="shared" si="1"/>
        <v>I</v>
      </c>
      <c r="C50" s="49">
        <f t="shared" si="2"/>
        <v>47664.438000000002</v>
      </c>
      <c r="D50" s="15" t="str">
        <f t="shared" si="3"/>
        <v>vis</v>
      </c>
      <c r="E50" s="57">
        <f>VLOOKUP(C50,Active!C$21:E$973,3,FALSE)</f>
        <v>6588.9646653451173</v>
      </c>
      <c r="F50" s="16" t="s">
        <v>67</v>
      </c>
      <c r="G50" s="15" t="str">
        <f t="shared" si="4"/>
        <v>47664.438</v>
      </c>
      <c r="H50" s="49">
        <f t="shared" si="5"/>
        <v>6589</v>
      </c>
      <c r="I50" s="58" t="s">
        <v>109</v>
      </c>
      <c r="J50" s="59" t="s">
        <v>110</v>
      </c>
      <c r="K50" s="58">
        <v>6589</v>
      </c>
      <c r="L50" s="58" t="s">
        <v>111</v>
      </c>
      <c r="M50" s="59" t="s">
        <v>70</v>
      </c>
      <c r="N50" s="59"/>
      <c r="O50" s="60" t="s">
        <v>112</v>
      </c>
      <c r="P50" s="61" t="s">
        <v>113</v>
      </c>
    </row>
    <row r="51" spans="1:16" ht="12.75" customHeight="1" thickBot="1">
      <c r="A51" s="49" t="str">
        <f t="shared" si="0"/>
        <v>BAVM 56 </v>
      </c>
      <c r="B51" s="16" t="str">
        <f t="shared" si="1"/>
        <v>I</v>
      </c>
      <c r="C51" s="49">
        <f t="shared" si="2"/>
        <v>47668.536999999997</v>
      </c>
      <c r="D51" s="15" t="str">
        <f t="shared" si="3"/>
        <v>vis</v>
      </c>
      <c r="E51" s="57">
        <f>VLOOKUP(C51,Active!C$21:E$973,3,FALSE)</f>
        <v>6590.9761416047877</v>
      </c>
      <c r="F51" s="16" t="s">
        <v>67</v>
      </c>
      <c r="G51" s="15" t="str">
        <f t="shared" si="4"/>
        <v>47668.537</v>
      </c>
      <c r="H51" s="49">
        <f t="shared" si="5"/>
        <v>6591</v>
      </c>
      <c r="I51" s="58" t="s">
        <v>114</v>
      </c>
      <c r="J51" s="59" t="s">
        <v>115</v>
      </c>
      <c r="K51" s="58">
        <v>6591</v>
      </c>
      <c r="L51" s="58" t="s">
        <v>116</v>
      </c>
      <c r="M51" s="59" t="s">
        <v>70</v>
      </c>
      <c r="N51" s="59"/>
      <c r="O51" s="60" t="s">
        <v>112</v>
      </c>
      <c r="P51" s="61" t="s">
        <v>117</v>
      </c>
    </row>
    <row r="52" spans="1:16" ht="12.75" customHeight="1" thickBot="1">
      <c r="A52" s="49" t="str">
        <f t="shared" si="0"/>
        <v>BAVM 56 </v>
      </c>
      <c r="B52" s="16" t="str">
        <f t="shared" si="1"/>
        <v>I</v>
      </c>
      <c r="C52" s="49">
        <f t="shared" si="2"/>
        <v>47719.476999999999</v>
      </c>
      <c r="D52" s="15" t="str">
        <f t="shared" si="3"/>
        <v>vis</v>
      </c>
      <c r="E52" s="57">
        <f>VLOOKUP(C52,Active!C$21:E$973,3,FALSE)</f>
        <v>6615.9736045634954</v>
      </c>
      <c r="F52" s="16" t="s">
        <v>67</v>
      </c>
      <c r="G52" s="15" t="str">
        <f t="shared" si="4"/>
        <v>47719.477</v>
      </c>
      <c r="H52" s="49">
        <f t="shared" si="5"/>
        <v>6616</v>
      </c>
      <c r="I52" s="58" t="s">
        <v>118</v>
      </c>
      <c r="J52" s="59" t="s">
        <v>119</v>
      </c>
      <c r="K52" s="58">
        <v>6616</v>
      </c>
      <c r="L52" s="58" t="s">
        <v>120</v>
      </c>
      <c r="M52" s="59" t="s">
        <v>70</v>
      </c>
      <c r="N52" s="59"/>
      <c r="O52" s="60" t="s">
        <v>112</v>
      </c>
      <c r="P52" s="61" t="s">
        <v>117</v>
      </c>
    </row>
    <row r="53" spans="1:16" ht="12.75" customHeight="1" thickBot="1">
      <c r="A53" s="49" t="str">
        <f t="shared" si="0"/>
        <v>BAVM 60 </v>
      </c>
      <c r="B53" s="16" t="str">
        <f t="shared" si="1"/>
        <v>II</v>
      </c>
      <c r="C53" s="49">
        <f t="shared" si="2"/>
        <v>47769.402000000002</v>
      </c>
      <c r="D53" s="15" t="str">
        <f t="shared" si="3"/>
        <v>vis</v>
      </c>
      <c r="E53" s="57">
        <f>VLOOKUP(C53,Active!C$21:E$973,3,FALSE)</f>
        <v>6640.4729830129163</v>
      </c>
      <c r="F53" s="16" t="s">
        <v>67</v>
      </c>
      <c r="G53" s="15" t="str">
        <f t="shared" si="4"/>
        <v>47769.402</v>
      </c>
      <c r="H53" s="49">
        <f t="shared" si="5"/>
        <v>6640.5</v>
      </c>
      <c r="I53" s="58" t="s">
        <v>121</v>
      </c>
      <c r="J53" s="59" t="s">
        <v>122</v>
      </c>
      <c r="K53" s="58">
        <v>6640.5</v>
      </c>
      <c r="L53" s="58" t="s">
        <v>123</v>
      </c>
      <c r="M53" s="59" t="s">
        <v>70</v>
      </c>
      <c r="N53" s="59"/>
      <c r="O53" s="60" t="s">
        <v>124</v>
      </c>
      <c r="P53" s="61" t="s">
        <v>125</v>
      </c>
    </row>
    <row r="54" spans="1:16" ht="12.75" customHeight="1" thickBot="1">
      <c r="A54" s="49" t="str">
        <f t="shared" si="0"/>
        <v>BAVM 93 </v>
      </c>
      <c r="B54" s="16" t="str">
        <f t="shared" si="1"/>
        <v>I</v>
      </c>
      <c r="C54" s="49">
        <f t="shared" si="2"/>
        <v>48850.453999999998</v>
      </c>
      <c r="D54" s="15" t="str">
        <f t="shared" si="3"/>
        <v>vis</v>
      </c>
      <c r="E54" s="57">
        <f>VLOOKUP(C54,Active!C$21:E$973,3,FALSE)</f>
        <v>7170.970771125114</v>
      </c>
      <c r="F54" s="16" t="s">
        <v>67</v>
      </c>
      <c r="G54" s="15" t="str">
        <f t="shared" si="4"/>
        <v>48850.454</v>
      </c>
      <c r="H54" s="49">
        <f t="shared" si="5"/>
        <v>7171</v>
      </c>
      <c r="I54" s="58" t="s">
        <v>126</v>
      </c>
      <c r="J54" s="59" t="s">
        <v>127</v>
      </c>
      <c r="K54" s="58">
        <v>7171</v>
      </c>
      <c r="L54" s="58" t="s">
        <v>128</v>
      </c>
      <c r="M54" s="59" t="s">
        <v>70</v>
      </c>
      <c r="N54" s="59"/>
      <c r="O54" s="60" t="s">
        <v>129</v>
      </c>
      <c r="P54" s="61" t="s">
        <v>130</v>
      </c>
    </row>
    <row r="55" spans="1:16" ht="12.75" customHeight="1" thickBot="1">
      <c r="A55" s="49" t="str">
        <f t="shared" si="0"/>
        <v> BBS 125 </v>
      </c>
      <c r="B55" s="16" t="str">
        <f t="shared" si="1"/>
        <v>I</v>
      </c>
      <c r="C55" s="49">
        <f t="shared" si="2"/>
        <v>52084.445</v>
      </c>
      <c r="D55" s="15" t="str">
        <f t="shared" si="3"/>
        <v>vis</v>
      </c>
      <c r="E55" s="57">
        <f>VLOOKUP(C55,Active!C$21:E$973,3,FALSE)</f>
        <v>8757.9666531684961</v>
      </c>
      <c r="F55" s="16" t="s">
        <v>67</v>
      </c>
      <c r="G55" s="15" t="str">
        <f t="shared" si="4"/>
        <v>52084.4450</v>
      </c>
      <c r="H55" s="49">
        <f t="shared" si="5"/>
        <v>8758</v>
      </c>
      <c r="I55" s="58" t="s">
        <v>166</v>
      </c>
      <c r="J55" s="59" t="s">
        <v>167</v>
      </c>
      <c r="K55" s="58">
        <v>8758</v>
      </c>
      <c r="L55" s="58" t="s">
        <v>168</v>
      </c>
      <c r="M55" s="59" t="s">
        <v>134</v>
      </c>
      <c r="N55" s="59" t="s">
        <v>135</v>
      </c>
      <c r="O55" s="60" t="s">
        <v>169</v>
      </c>
      <c r="P55" s="60" t="s">
        <v>170</v>
      </c>
    </row>
    <row r="56" spans="1:16" ht="12.75" customHeight="1" thickBot="1">
      <c r="A56" s="49" t="str">
        <f t="shared" si="0"/>
        <v>BAVM 193 </v>
      </c>
      <c r="B56" s="16" t="str">
        <f t="shared" si="1"/>
        <v>II</v>
      </c>
      <c r="C56" s="49">
        <f t="shared" si="2"/>
        <v>54298.511500000001</v>
      </c>
      <c r="D56" s="15" t="str">
        <f t="shared" si="3"/>
        <v>vis</v>
      </c>
      <c r="E56" s="57">
        <f>VLOOKUP(C56,Active!C$21:E$973,3,FALSE)</f>
        <v>9844.4614572882983</v>
      </c>
      <c r="F56" s="16" t="s">
        <v>67</v>
      </c>
      <c r="G56" s="15" t="str">
        <f t="shared" si="4"/>
        <v>54298.5115</v>
      </c>
      <c r="H56" s="49">
        <f t="shared" si="5"/>
        <v>9844.5</v>
      </c>
      <c r="I56" s="58" t="s">
        <v>210</v>
      </c>
      <c r="J56" s="59" t="s">
        <v>211</v>
      </c>
      <c r="K56" s="58" t="s">
        <v>212</v>
      </c>
      <c r="L56" s="58" t="s">
        <v>213</v>
      </c>
      <c r="M56" s="59" t="s">
        <v>158</v>
      </c>
      <c r="N56" s="59" t="s">
        <v>190</v>
      </c>
      <c r="O56" s="60" t="s">
        <v>196</v>
      </c>
      <c r="P56" s="61" t="s">
        <v>214</v>
      </c>
    </row>
    <row r="57" spans="1:16" ht="12.75" customHeight="1" thickBot="1">
      <c r="A57" s="49" t="str">
        <f t="shared" si="0"/>
        <v>BAVM 212 </v>
      </c>
      <c r="B57" s="16" t="str">
        <f t="shared" si="1"/>
        <v>I</v>
      </c>
      <c r="C57" s="49">
        <f t="shared" si="2"/>
        <v>54996.460099999997</v>
      </c>
      <c r="D57" s="15" t="str">
        <f t="shared" si="3"/>
        <v>vis</v>
      </c>
      <c r="E57" s="57">
        <f>VLOOKUP(C57,Active!C$21:E$973,3,FALSE)</f>
        <v>10186.961344912579</v>
      </c>
      <c r="F57" s="16" t="s">
        <v>67</v>
      </c>
      <c r="G57" s="15" t="str">
        <f t="shared" si="4"/>
        <v>54996.4601</v>
      </c>
      <c r="H57" s="49">
        <f t="shared" si="5"/>
        <v>10187</v>
      </c>
      <c r="I57" s="58" t="s">
        <v>231</v>
      </c>
      <c r="J57" s="59" t="s">
        <v>232</v>
      </c>
      <c r="K57" s="58" t="s">
        <v>233</v>
      </c>
      <c r="L57" s="58" t="s">
        <v>234</v>
      </c>
      <c r="M57" s="59" t="s">
        <v>158</v>
      </c>
      <c r="N57" s="59" t="s">
        <v>190</v>
      </c>
      <c r="O57" s="60" t="s">
        <v>196</v>
      </c>
      <c r="P57" s="61" t="s">
        <v>235</v>
      </c>
    </row>
    <row r="58" spans="1:16" ht="12.75" customHeight="1" thickBot="1">
      <c r="A58" s="49" t="str">
        <f t="shared" si="0"/>
        <v>BAVM 225 </v>
      </c>
      <c r="B58" s="16" t="str">
        <f t="shared" si="1"/>
        <v>II</v>
      </c>
      <c r="C58" s="49">
        <f t="shared" si="2"/>
        <v>55804.447099999998</v>
      </c>
      <c r="D58" s="15" t="str">
        <f t="shared" si="3"/>
        <v>vis</v>
      </c>
      <c r="E58" s="57">
        <f>VLOOKUP(C58,Active!C$21:E$973,3,FALSE)</f>
        <v>10583.459678316905</v>
      </c>
      <c r="F58" s="16" t="s">
        <v>67</v>
      </c>
      <c r="G58" s="15" t="str">
        <f t="shared" si="4"/>
        <v>55804.4471</v>
      </c>
      <c r="H58" s="49">
        <f t="shared" si="5"/>
        <v>10583.5</v>
      </c>
      <c r="I58" s="58" t="s">
        <v>254</v>
      </c>
      <c r="J58" s="59" t="s">
        <v>255</v>
      </c>
      <c r="K58" s="58" t="s">
        <v>256</v>
      </c>
      <c r="L58" s="58" t="s">
        <v>257</v>
      </c>
      <c r="M58" s="59" t="s">
        <v>158</v>
      </c>
      <c r="N58" s="59" t="s">
        <v>190</v>
      </c>
      <c r="O58" s="60" t="s">
        <v>196</v>
      </c>
      <c r="P58" s="61" t="s">
        <v>258</v>
      </c>
    </row>
    <row r="59" spans="1:16">
      <c r="B59" s="16"/>
      <c r="F59" s="16"/>
    </row>
    <row r="60" spans="1:16">
      <c r="B60" s="16"/>
      <c r="F60" s="16"/>
    </row>
    <row r="61" spans="1:16">
      <c r="B61" s="16"/>
      <c r="F61" s="16"/>
    </row>
    <row r="62" spans="1:16">
      <c r="B62" s="16"/>
      <c r="F62" s="16"/>
    </row>
    <row r="63" spans="1:16">
      <c r="B63" s="16"/>
      <c r="F63" s="16"/>
    </row>
    <row r="64" spans="1:1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</sheetData>
  <phoneticPr fontId="8" type="noConversion"/>
  <hyperlinks>
    <hyperlink ref="P50" r:id="rId1" display="http://www.bav-astro.de/sfs/BAVM_link.php?BAVMnr=52"/>
    <hyperlink ref="P51" r:id="rId2" display="http://www.bav-astro.de/sfs/BAVM_link.php?BAVMnr=56"/>
    <hyperlink ref="P52" r:id="rId3" display="http://www.bav-astro.de/sfs/BAVM_link.php?BAVMnr=56"/>
    <hyperlink ref="P53" r:id="rId4" display="http://www.bav-astro.de/sfs/BAVM_link.php?BAVMnr=60"/>
    <hyperlink ref="P54" r:id="rId5" display="http://www.bav-astro.de/sfs/BAVM_link.php?BAVMnr=93"/>
    <hyperlink ref="P11" r:id="rId6" display="http://www.konkoly.hu/cgi-bin/IBVS?4278"/>
    <hyperlink ref="P12" r:id="rId7" display="http://www.konkoly.hu/cgi-bin/IBVS?4278"/>
    <hyperlink ref="P13" r:id="rId8" display="http://www.bav-astro.de/sfs/BAVM_link.php?BAVMnr=99"/>
    <hyperlink ref="P14" r:id="rId9" display="http://www.bav-astro.de/sfs/BAVM_link.php?BAVMnr=99"/>
    <hyperlink ref="P15" r:id="rId10" display="http://www.konkoly.hu/cgi-bin/IBVS?5263"/>
    <hyperlink ref="P16" r:id="rId11" display="http://var.astro.cz/oejv/issues/oejv0074.pdf"/>
    <hyperlink ref="P17" r:id="rId12" display="http://www.konkoly.hu/cgi-bin/IBVS?5583"/>
    <hyperlink ref="P18" r:id="rId13" display="http://var.astro.cz/oejv/issues/oejv0074.pdf"/>
    <hyperlink ref="P19" r:id="rId14" display="http://www.konkoly.hu/cgi-bin/IBVS?5676"/>
    <hyperlink ref="P20" r:id="rId15" display="http://www.bav-astro.de/sfs/BAVM_link.php?BAVMnr=172"/>
    <hyperlink ref="P21" r:id="rId16" display="http://www.konkoly.hu/cgi-bin/IBVS?5713"/>
    <hyperlink ref="P22" r:id="rId17" display="http://www.bav-astro.de/sfs/BAVM_link.php?BAVMnr=178"/>
    <hyperlink ref="P23" r:id="rId18" display="http://www.bav-astro.de/sfs/BAVM_link.php?BAVMnr=178"/>
    <hyperlink ref="P25" r:id="rId19" display="http://www.bav-astro.de/sfs/BAVM_link.php?BAVMnr=178"/>
    <hyperlink ref="P26" r:id="rId20" display="http://www.konkoly.hu/cgi-bin/IBVS?5837"/>
    <hyperlink ref="P56" r:id="rId21" display="http://www.bav-astro.de/sfs/BAVM_link.php?BAVMnr=193"/>
    <hyperlink ref="P27" r:id="rId22" display="http://www.konkoly.hu/cgi-bin/IBVS?5835"/>
    <hyperlink ref="P28" r:id="rId23" display="http://www.konkoly.hu/cgi-bin/IBVS?5933"/>
    <hyperlink ref="P29" r:id="rId24" display="http://www.konkoly.hu/cgi-bin/IBVS?5933"/>
    <hyperlink ref="P57" r:id="rId25" display="http://www.bav-astro.de/sfs/BAVM_link.php?BAVMnr=212"/>
    <hyperlink ref="P30" r:id="rId26" display="http://www.bav-astro.de/sfs/BAVM_link.php?BAVMnr=214"/>
    <hyperlink ref="P31" r:id="rId27" display="http://www.bav-astro.de/sfs/BAVM_link.php?BAVMnr=214"/>
    <hyperlink ref="P32" r:id="rId28" display="http://www.bav-astro.de/sfs/BAVM_link.php?BAVMnr=215"/>
    <hyperlink ref="P33" r:id="rId29" display="http://www.bav-astro.de/sfs/BAVM_link.php?BAVMnr=215"/>
    <hyperlink ref="P58" r:id="rId30" display="http://www.bav-astro.de/sfs/BAVM_link.php?BAVMnr=225"/>
    <hyperlink ref="P34" r:id="rId31" display="http://www.bav-astro.de/sfs/BAVM_link.php?BAVMnr=239"/>
    <hyperlink ref="P35" r:id="rId32" display="http://www.bav-astro.de/sfs/BAVM_link.php?BAVMnr=239"/>
    <hyperlink ref="P36" r:id="rId3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2024-02-04T03:21:09Z</dcterms:modified>
</cp:coreProperties>
</file>