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C3D1117-E66D-4A44-B6F6-56BE7CE0E1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6" i="2" l="1"/>
  <c r="C16" i="2"/>
  <c r="G15" i="2"/>
  <c r="C15" i="2"/>
  <c r="G14" i="2"/>
  <c r="C14" i="2"/>
  <c r="G13" i="2"/>
  <c r="C13" i="2"/>
  <c r="G12" i="2"/>
  <c r="C12" i="2"/>
  <c r="G11" i="2"/>
  <c r="C11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C9" i="1"/>
  <c r="D9" i="1"/>
  <c r="Q27" i="1"/>
  <c r="F16" i="1"/>
  <c r="F17" i="1" s="1"/>
  <c r="C17" i="1"/>
  <c r="Q25" i="1"/>
  <c r="Q23" i="1"/>
  <c r="Q24" i="1"/>
  <c r="Q22" i="1"/>
  <c r="C7" i="1"/>
  <c r="C8" i="1"/>
  <c r="E21" i="1"/>
  <c r="F21" i="1"/>
  <c r="G21" i="1"/>
  <c r="H21" i="1"/>
  <c r="Q21" i="1"/>
  <c r="E11" i="2"/>
  <c r="E12" i="2"/>
  <c r="E13" i="2"/>
  <c r="E14" i="2"/>
  <c r="E15" i="2"/>
  <c r="G25" i="1"/>
  <c r="K25" i="1"/>
  <c r="E22" i="1"/>
  <c r="F22" i="1"/>
  <c r="G22" i="1"/>
  <c r="E24" i="1"/>
  <c r="F24" i="1"/>
  <c r="E26" i="1"/>
  <c r="F26" i="1"/>
  <c r="G26" i="1"/>
  <c r="J26" i="1"/>
  <c r="G24" i="1"/>
  <c r="K24" i="1"/>
  <c r="G23" i="1"/>
  <c r="K23" i="1"/>
  <c r="G27" i="1"/>
  <c r="J27" i="1"/>
  <c r="E23" i="1"/>
  <c r="F23" i="1"/>
  <c r="E25" i="1"/>
  <c r="F25" i="1"/>
  <c r="E27" i="1"/>
  <c r="F27" i="1"/>
  <c r="J22" i="1"/>
  <c r="E16" i="2"/>
  <c r="C11" i="1"/>
  <c r="C12" i="1"/>
  <c r="C16" i="1" l="1"/>
  <c r="D18" i="1" s="1"/>
  <c r="O24" i="1"/>
  <c r="C15" i="1"/>
  <c r="O23" i="1"/>
  <c r="O25" i="1"/>
  <c r="O27" i="1"/>
  <c r="O22" i="1"/>
  <c r="O21" i="1"/>
  <c r="O26" i="1"/>
  <c r="C18" i="1" l="1"/>
  <c r="F18" i="1"/>
  <c r="F19" i="1" s="1"/>
</calcChain>
</file>

<file path=xl/sharedStrings.xml><?xml version="1.0" encoding="utf-8"?>
<sst xmlns="http://schemas.openxmlformats.org/spreadsheetml/2006/main" count="120" uniqueCount="92">
  <si>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</si>
  <si>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</si>
  <si>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</si>
  <si>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</si>
  <si>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</si>
  <si>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</si>
  <si>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</si>
  <si>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</si>
  <si>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</si>
  <si>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</si>
  <si>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</si>
  <si>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</si>
  <si>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</si>
  <si>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</si>
  <si>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</si>
  <si>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</si>
  <si>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</si>
  <si>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</si>
  <si>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</si>
  <si>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</si>
  <si>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</si>
  <si>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</si>
  <si>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</si>
  <si>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</si>
  <si>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</si>
  <si>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</si>
  <si>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</si>
  <si>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</si>
  <si>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</si>
  <si>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Bull.118</t>
  </si>
  <si>
    <t>B</t>
  </si>
  <si>
    <t>IBVS 5263</t>
  </si>
  <si>
    <t>I</t>
  </si>
  <si>
    <t># of data points:</t>
  </si>
  <si>
    <t>EB</t>
  </si>
  <si>
    <t>19 44 56.4 +28 15 22</t>
  </si>
  <si>
    <t>Ref: IBVS 4675</t>
  </si>
  <si>
    <t>OEJV 0074</t>
  </si>
  <si>
    <t>CCD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</si>
  <si>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</si>
  <si>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</si>
  <si>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</si>
  <si>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</si>
  <si>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</si>
  <si>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</si>
  <si>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</si>
  <si>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</si>
  <si>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</si>
  <si>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IBVS 6010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</si>
  <si>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</si>
  <si>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</si>
  <si>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</si>
  <si>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</si>
  <si>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</si>
  <si>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</si>
  <si>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</si>
  <si>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</si>
  <si>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</si>
  <si>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</si>
  <si>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2451007.4603 </t>
  </si>
  <si>
    <t> 12.07.1998 23:02 </t>
  </si>
  <si>
    <t> -0.0057 </t>
  </si>
  <si>
    <t>E </t>
  </si>
  <si>
    <t>?</t>
  </si>
  <si>
    <t> R.Diethelm </t>
  </si>
  <si>
    <t> BBS 118 </t>
  </si>
  <si>
    <t>2451404.4241 </t>
  </si>
  <si>
    <t> 13.08.1999 22:10 </t>
  </si>
  <si>
    <t> -0.0055 </t>
  </si>
  <si>
    <t> M.Zejda </t>
  </si>
  <si>
    <t>IBVS 5263 </t>
  </si>
  <si>
    <t>2451465.3735 </t>
  </si>
  <si>
    <t> 13.10.1999 20:57 </t>
  </si>
  <si>
    <t> -0.0072 </t>
  </si>
  <si>
    <t>2452127.50380 </t>
  </si>
  <si>
    <t> 06.08.2001 00:05 </t>
  </si>
  <si>
    <t> -0.00367 </t>
  </si>
  <si>
    <t>C </t>
  </si>
  <si>
    <t>o</t>
  </si>
  <si>
    <t> K.Koss </t>
  </si>
  <si>
    <t>OEJV 0074 </t>
  </si>
  <si>
    <t>2455372.4978 </t>
  </si>
  <si>
    <t> 24.06.2010 23:56 </t>
  </si>
  <si>
    <t> -0.0041 </t>
  </si>
  <si>
    <t> W.Moschner &amp; P.Frank </t>
  </si>
  <si>
    <t>BAVM 220 </t>
  </si>
  <si>
    <t>2455385.5250 </t>
  </si>
  <si>
    <t> 08.07.2010 00:36 </t>
  </si>
  <si>
    <t> -0.0006 </t>
  </si>
  <si>
    <t> U.Schmidt </t>
  </si>
  <si>
    <t>BAVM 214 </t>
  </si>
  <si>
    <t>V0970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</si>
</sst>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V0970 Cyg - O-C Diagr.</a:t>
            </a:r>
          </a:p>
        </c:rich>
      </c:tx>
      <c:layout>
        <c:manualLayout>
          <c:xMode val="edge"/>
          <c:yMode val="edge"/>
          <c:x val="0.356047700170357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72913117546849"/>
          <c:y val="0.14769252958613219"/>
          <c:w val="0.7904599659284496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C-4E0F-A8F3-DEFAD944C5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C-4E0F-A8F3-DEFAD944C5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">
                  <c:v>-5.7409999935771339E-3</c:v>
                </c:pt>
                <c:pt idx="5">
                  <c:v>-4.1015000024344772E-3</c:v>
                </c:pt>
                <c:pt idx="6">
                  <c:v>-6.3899999804561958E-4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6C-4E0F-A8F3-DEFAD944C5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-5.4600000003119931E-3</c:v>
                </c:pt>
                <c:pt idx="3">
                  <c:v>-7.1514999945065938E-3</c:v>
                </c:pt>
                <c:pt idx="4">
                  <c:v>-3.665999996883329E-3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6C-4E0F-A8F3-DEFAD944C5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6C-4E0F-A8F3-DEFAD944C5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6C-4E0F-A8F3-DEFAD944C5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1.2999999999999999E-3</c:v>
                  </c:pt>
                  <c:pt idx="2">
                    <c:v>3.7000000000000002E-3</c:v>
                  </c:pt>
                  <c:pt idx="3">
                    <c:v>2.3999999999999998E-3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6C-4E0F-A8F3-DEFAD944C5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30118</c:v>
                </c:pt>
                <c:pt idx="2">
                  <c:v>30880</c:v>
                </c:pt>
                <c:pt idx="3">
                  <c:v>30997</c:v>
                </c:pt>
                <c:pt idx="4">
                  <c:v>32268</c:v>
                </c:pt>
                <c:pt idx="5">
                  <c:v>38497</c:v>
                </c:pt>
                <c:pt idx="6">
                  <c:v>38522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-1.928031349674604E-2</c:v>
                </c:pt>
                <c:pt idx="1">
                  <c:v>-5.9747057931317602E-3</c:v>
                </c:pt>
                <c:pt idx="2">
                  <c:v>-5.6380674682046713E-3</c:v>
                </c:pt>
                <c:pt idx="3">
                  <c:v>-5.5863789065032678E-3</c:v>
                </c:pt>
                <c:pt idx="4">
                  <c:v>-5.0248732490461405E-3</c:v>
                </c:pt>
                <c:pt idx="5">
                  <c:v>-2.2730095666697106E-3</c:v>
                </c:pt>
                <c:pt idx="6">
                  <c:v>-2.2619650022035961E-3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6C-4E0F-A8F3-DEFAD944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850416"/>
        <c:axId val="1"/>
      </c:scatterChart>
      <c:valAx>
        <c:axId val="54785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126064735945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85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2572402044292"/>
          <c:y val="0.92000129214617399"/>
          <c:w val="0.712095400340715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16</xdr:col>
      <xdr:colOff>66675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CB4AB8-5373-3526-2C5B-3B7D7FD73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5263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  <c r="C1" s="15" t="s">
        <v>35</v>
      </c>
    </row>
    <row r="2" spans="1:6">
      <c r="A2" t="s">
        <v>24</v>
      </c>
      <c r="B2" s="14" t="s">
        <v>34</v>
      </c>
      <c r="C2" s="16" t="s">
        <v>36</v>
      </c>
    </row>
    <row r="4" spans="1:6" ht="14.25" thickTop="1" thickBot="1">
      <c r="A4" s="7" t="s">
        <v>0</v>
      </c>
      <c r="C4" s="3">
        <v>35317.508999999998</v>
      </c>
      <c r="D4" s="4">
        <v>0.52094949999999995</v>
      </c>
    </row>
    <row r="5" spans="1:6" ht="13.5" thickTop="1">
      <c r="A5" s="20" t="s">
        <v>39</v>
      </c>
      <c r="B5" s="21"/>
      <c r="C5" s="22">
        <v>-9.5</v>
      </c>
      <c r="D5" s="21" t="s">
        <v>40</v>
      </c>
    </row>
    <row r="6" spans="1:6">
      <c r="A6" s="7" t="s">
        <v>1</v>
      </c>
    </row>
    <row r="7" spans="1:6">
      <c r="A7" t="s">
        <v>2</v>
      </c>
      <c r="C7">
        <f>+C4</f>
        <v>35317.508999999998</v>
      </c>
    </row>
    <row r="8" spans="1:6">
      <c r="A8" t="s">
        <v>3</v>
      </c>
      <c r="C8">
        <f>+D4</f>
        <v>0.52094949999999995</v>
      </c>
    </row>
    <row r="9" spans="1:6">
      <c r="A9" s="35" t="s">
        <v>44</v>
      </c>
      <c r="B9" s="36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21"/>
      <c r="B10" s="21"/>
      <c r="C10" s="6" t="s">
        <v>20</v>
      </c>
      <c r="D10" s="6" t="s">
        <v>21</v>
      </c>
      <c r="E10" s="21"/>
    </row>
    <row r="11" spans="1:6">
      <c r="A11" s="21" t="s">
        <v>16</v>
      </c>
      <c r="B11" s="21"/>
      <c r="C11" s="23">
        <f ca="1">INTERCEPT(INDIRECT($D$9):G992,INDIRECT($C$9):F992)</f>
        <v>-1.928031349674604E-2</v>
      </c>
      <c r="D11" s="5"/>
      <c r="E11" s="21"/>
    </row>
    <row r="12" spans="1:6">
      <c r="A12" s="21" t="s">
        <v>17</v>
      </c>
      <c r="B12" s="21"/>
      <c r="C12" s="23">
        <f ca="1">SLOPE(INDIRECT($D$9):G992,INDIRECT($C$9):F992)</f>
        <v>4.417825786444744E-7</v>
      </c>
      <c r="D12" s="5"/>
      <c r="E12" s="21"/>
    </row>
    <row r="13" spans="1:6">
      <c r="A13" s="21" t="s">
        <v>19</v>
      </c>
      <c r="B13" s="21"/>
      <c r="C13" s="5" t="s">
        <v>14</v>
      </c>
    </row>
    <row r="14" spans="1:6">
      <c r="A14" s="21"/>
      <c r="B14" s="21"/>
      <c r="C14" s="21"/>
    </row>
    <row r="15" spans="1:6">
      <c r="A15" s="26" t="s">
        <v>18</v>
      </c>
      <c r="B15" s="21"/>
      <c r="C15" s="27">
        <f ca="1">(C7+C11)+(C8+C12)*INT(MAX(F21:F3533))</f>
        <v>55385.523377034988</v>
      </c>
      <c r="E15" s="28" t="s">
        <v>45</v>
      </c>
      <c r="F15" s="22">
        <v>1</v>
      </c>
    </row>
    <row r="16" spans="1:6">
      <c r="A16" s="30" t="s">
        <v>4</v>
      </c>
      <c r="B16" s="21"/>
      <c r="C16" s="31">
        <f ca="1">+C8+C12</f>
        <v>0.52094994178257858</v>
      </c>
      <c r="E16" s="28" t="s">
        <v>41</v>
      </c>
      <c r="F16" s="29">
        <f ca="1">NOW()+15018.5+$C$5/24</f>
        <v>60344.684209722218</v>
      </c>
    </row>
    <row r="17" spans="1:31" ht="13.5" thickBot="1">
      <c r="A17" s="28" t="s">
        <v>33</v>
      </c>
      <c r="B17" s="21"/>
      <c r="C17" s="21">
        <f>COUNT(C21:C2191)</f>
        <v>7</v>
      </c>
      <c r="E17" s="28" t="s">
        <v>46</v>
      </c>
      <c r="F17" s="29">
        <f ca="1">ROUND(2*(F16-$C$7)/$C$8,0)/2+F15</f>
        <v>48042.5</v>
      </c>
    </row>
    <row r="18" spans="1:31" ht="14.25" thickTop="1" thickBot="1">
      <c r="A18" s="30" t="s">
        <v>5</v>
      </c>
      <c r="B18" s="21"/>
      <c r="C18" s="33">
        <f ca="1">+C15</f>
        <v>55385.523377034988</v>
      </c>
      <c r="D18" s="34">
        <f ca="1">+C16</f>
        <v>0.52094994178257858</v>
      </c>
      <c r="E18" s="28" t="s">
        <v>42</v>
      </c>
      <c r="F18" s="25">
        <f ca="1">ROUND(2*(F16-$C$15)/$C$16,0)/2+F15</f>
        <v>9520.5</v>
      </c>
    </row>
    <row r="19" spans="1:31" ht="13.5" thickTop="1">
      <c r="E19" s="28" t="s">
        <v>43</v>
      </c>
      <c r="F19" s="32">
        <f ca="1">+$C$15+$C$16*F18-15018.5-$C$5/24</f>
        <v>45327.123131109365</v>
      </c>
    </row>
    <row r="20" spans="1:3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55</v>
      </c>
      <c r="I20" s="9" t="s">
        <v>58</v>
      </c>
      <c r="J20" s="9" t="s">
        <v>52</v>
      </c>
      <c r="K20" s="9" t="s">
        <v>38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31">
      <c r="A21" t="s">
        <v>12</v>
      </c>
      <c r="B21" s="5"/>
      <c r="C21" s="11">
        <v>35317.508999999998</v>
      </c>
      <c r="D21" s="11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+C$11+C$12*F21</f>
        <v>-1.928031349674604E-2</v>
      </c>
      <c r="Q21" s="2">
        <f t="shared" ref="Q21:Q27" si="4">+C21-15018.5</f>
        <v>20299.008999999998</v>
      </c>
    </row>
    <row r="22" spans="1:31">
      <c r="A22" t="s">
        <v>29</v>
      </c>
      <c r="B22" s="5"/>
      <c r="C22" s="12">
        <v>51007.460299999999</v>
      </c>
      <c r="D22" s="11">
        <v>1.2999999999999999E-3</v>
      </c>
      <c r="E22">
        <f t="shared" si="0"/>
        <v>30117.988979737962</v>
      </c>
      <c r="F22">
        <f t="shared" si="1"/>
        <v>30118</v>
      </c>
      <c r="G22">
        <f t="shared" si="2"/>
        <v>-5.7409999935771339E-3</v>
      </c>
      <c r="J22">
        <f>+G22</f>
        <v>-5.7409999935771339E-3</v>
      </c>
      <c r="O22">
        <f t="shared" ca="1" si="3"/>
        <v>-5.9747057931317602E-3</v>
      </c>
      <c r="Q22" s="2">
        <f t="shared" si="4"/>
        <v>35988.960299999999</v>
      </c>
      <c r="AA22">
        <v>16</v>
      </c>
      <c r="AC22" t="s">
        <v>28</v>
      </c>
      <c r="AE22" t="s">
        <v>30</v>
      </c>
    </row>
    <row r="23" spans="1:31">
      <c r="A23" t="s">
        <v>31</v>
      </c>
      <c r="B23" s="10" t="s">
        <v>32</v>
      </c>
      <c r="C23" s="13">
        <v>51404.424099999997</v>
      </c>
      <c r="D23" s="13">
        <v>3.7000000000000002E-3</v>
      </c>
      <c r="E23">
        <f t="shared" si="0"/>
        <v>30879.989519137653</v>
      </c>
      <c r="F23">
        <f t="shared" si="1"/>
        <v>30880</v>
      </c>
      <c r="G23">
        <f t="shared" si="2"/>
        <v>-5.4600000003119931E-3</v>
      </c>
      <c r="K23">
        <f>+G23</f>
        <v>-5.4600000003119931E-3</v>
      </c>
      <c r="O23">
        <f t="shared" ca="1" si="3"/>
        <v>-5.6380674682046713E-3</v>
      </c>
      <c r="Q23" s="2">
        <f t="shared" si="4"/>
        <v>36385.924099999997</v>
      </c>
    </row>
    <row r="24" spans="1:31">
      <c r="A24" t="s">
        <v>31</v>
      </c>
      <c r="B24" s="10" t="s">
        <v>32</v>
      </c>
      <c r="C24" s="13">
        <v>51465.373500000002</v>
      </c>
      <c r="D24" s="13">
        <v>2.3999999999999998E-3</v>
      </c>
      <c r="E24">
        <f t="shared" si="0"/>
        <v>30996.986272181861</v>
      </c>
      <c r="F24">
        <f t="shared" si="1"/>
        <v>30997</v>
      </c>
      <c r="G24">
        <f t="shared" si="2"/>
        <v>-7.1514999945065938E-3</v>
      </c>
      <c r="K24">
        <f>+G24</f>
        <v>-7.1514999945065938E-3</v>
      </c>
      <c r="O24">
        <f t="shared" ca="1" si="3"/>
        <v>-5.5863789065032678E-3</v>
      </c>
      <c r="Q24" s="2">
        <f t="shared" si="4"/>
        <v>36446.873500000002</v>
      </c>
    </row>
    <row r="25" spans="1:31">
      <c r="A25" s="17" t="s">
        <v>37</v>
      </c>
      <c r="B25" s="18" t="s">
        <v>32</v>
      </c>
      <c r="C25" s="19">
        <v>52127.503799999999</v>
      </c>
      <c r="D25" s="19" t="s">
        <v>38</v>
      </c>
      <c r="E25">
        <f t="shared" si="0"/>
        <v>32267.99296284957</v>
      </c>
      <c r="F25">
        <f t="shared" si="1"/>
        <v>32268</v>
      </c>
      <c r="G25">
        <f t="shared" si="2"/>
        <v>-3.665999996883329E-3</v>
      </c>
      <c r="K25">
        <f>+G25</f>
        <v>-3.665999996883329E-3</v>
      </c>
      <c r="O25">
        <f t="shared" ca="1" si="3"/>
        <v>-5.0248732490461405E-3</v>
      </c>
      <c r="Q25" s="2">
        <f t="shared" si="4"/>
        <v>37109.003799999999</v>
      </c>
    </row>
    <row r="26" spans="1:31">
      <c r="A26" s="37" t="s">
        <v>48</v>
      </c>
      <c r="B26" s="38" t="s">
        <v>32</v>
      </c>
      <c r="C26" s="37">
        <v>55372.497799999997</v>
      </c>
      <c r="D26" s="37">
        <v>2.9999999999999997E-4</v>
      </c>
      <c r="E26">
        <f t="shared" si="0"/>
        <v>38496.992126876023</v>
      </c>
      <c r="F26">
        <f t="shared" si="1"/>
        <v>38497</v>
      </c>
      <c r="G26">
        <f t="shared" si="2"/>
        <v>-4.1015000024344772E-3</v>
      </c>
      <c r="J26">
        <f>+G26</f>
        <v>-4.1015000024344772E-3</v>
      </c>
      <c r="O26">
        <f t="shared" ca="1" si="3"/>
        <v>-2.2730095666697106E-3</v>
      </c>
      <c r="Q26" s="2">
        <f t="shared" si="4"/>
        <v>40353.997799999997</v>
      </c>
    </row>
    <row r="27" spans="1:31">
      <c r="A27" s="37" t="s">
        <v>47</v>
      </c>
      <c r="B27" s="38" t="s">
        <v>32</v>
      </c>
      <c r="C27" s="37">
        <v>55385.525000000001</v>
      </c>
      <c r="D27" s="37">
        <v>2.8999999999999998E-3</v>
      </c>
      <c r="E27">
        <f t="shared" si="0"/>
        <v>38521.998773393592</v>
      </c>
      <c r="F27">
        <f t="shared" si="1"/>
        <v>38522</v>
      </c>
      <c r="G27">
        <f t="shared" si="2"/>
        <v>-6.3899999804561958E-4</v>
      </c>
      <c r="J27">
        <f>+G27</f>
        <v>-6.3899999804561958E-4</v>
      </c>
      <c r="O27">
        <f t="shared" ca="1" si="3"/>
        <v>-2.2619650022035961E-3</v>
      </c>
      <c r="Q27" s="2">
        <f t="shared" si="4"/>
        <v>40367.025000000001</v>
      </c>
    </row>
    <row r="28" spans="1:31">
      <c r="C28" s="11"/>
      <c r="D28" s="11"/>
    </row>
    <row r="29" spans="1:31">
      <c r="C29" s="11"/>
      <c r="D29" s="11"/>
    </row>
    <row r="30" spans="1:31">
      <c r="C30" s="11"/>
      <c r="D30" s="11"/>
    </row>
    <row r="31" spans="1:31">
      <c r="C31" s="11"/>
      <c r="D31" s="11"/>
    </row>
    <row r="32" spans="1:31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11" sqref="A11:IV448"/>
    </sheetView>
  </sheetViews>
  <sheetFormatPr defaultRowHeight="12.75"/>
  <cols>
    <col min="1" max="1" width="19.7109375" style="11" customWidth="1"/>
    <col min="2" max="2" width="4.42578125" style="21" customWidth="1"/>
    <col min="3" max="3" width="12.7109375" style="11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1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39" t="s">
        <v>49</v>
      </c>
      <c r="I1" s="40" t="s">
        <v>50</v>
      </c>
      <c r="J1" s="41" t="s">
        <v>38</v>
      </c>
    </row>
    <row r="2" spans="1:16">
      <c r="I2" s="42" t="s">
        <v>51</v>
      </c>
      <c r="J2" s="43" t="s">
        <v>52</v>
      </c>
    </row>
    <row r="3" spans="1:16">
      <c r="A3" s="44" t="s">
        <v>53</v>
      </c>
      <c r="I3" s="42" t="s">
        <v>54</v>
      </c>
      <c r="J3" s="43" t="s">
        <v>55</v>
      </c>
    </row>
    <row r="4" spans="1:16">
      <c r="I4" s="42" t="s">
        <v>56</v>
      </c>
      <c r="J4" s="43" t="s">
        <v>55</v>
      </c>
    </row>
    <row r="5" spans="1:16" ht="13.5" thickBot="1">
      <c r="I5" s="45" t="s">
        <v>57</v>
      </c>
      <c r="J5" s="46" t="s">
        <v>58</v>
      </c>
    </row>
    <row r="10" spans="1:16" ht="13.5" thickBot="1"/>
    <row r="11" spans="1:16" ht="12.75" customHeight="1" thickBot="1">
      <c r="A11" s="11" t="str">
        <f t="shared" ref="A11:A16" si="0">P11</f>
        <v> BBS 118 </v>
      </c>
      <c r="B11" s="5" t="str">
        <f t="shared" ref="B11:B16" si="1">IF(H11=INT(H11),"I","II")</f>
        <v>I</v>
      </c>
      <c r="C11" s="11">
        <f t="shared" ref="C11:C16" si="2">1*G11</f>
        <v>51007.460299999999</v>
      </c>
      <c r="D11" s="21" t="str">
        <f t="shared" ref="D11:D16" si="3">VLOOKUP(F11,I$1:J$5,2,FALSE)</f>
        <v>vis</v>
      </c>
      <c r="E11" s="47">
        <f>VLOOKUP(C11,Active!C$21:E$973,3,FALSE)</f>
        <v>30117.988979737962</v>
      </c>
      <c r="F11" s="5" t="s">
        <v>57</v>
      </c>
      <c r="G11" s="21" t="str">
        <f t="shared" ref="G11:G16" si="4">MID(I11,3,LEN(I11)-3)</f>
        <v>51007.4603</v>
      </c>
      <c r="H11" s="11">
        <f t="shared" ref="H11:H16" si="5">1*K11</f>
        <v>30118</v>
      </c>
      <c r="I11" s="48" t="s">
        <v>59</v>
      </c>
      <c r="J11" s="49" t="s">
        <v>60</v>
      </c>
      <c r="K11" s="48">
        <v>30118</v>
      </c>
      <c r="L11" s="48" t="s">
        <v>61</v>
      </c>
      <c r="M11" s="49" t="s">
        <v>62</v>
      </c>
      <c r="N11" s="49" t="s">
        <v>63</v>
      </c>
      <c r="O11" s="50" t="s">
        <v>64</v>
      </c>
      <c r="P11" s="50" t="s">
        <v>65</v>
      </c>
    </row>
    <row r="12" spans="1:16" ht="12.75" customHeight="1" thickBot="1">
      <c r="A12" s="11" t="str">
        <f t="shared" si="0"/>
        <v>IBVS 5263 </v>
      </c>
      <c r="B12" s="5" t="str">
        <f t="shared" si="1"/>
        <v>I</v>
      </c>
      <c r="C12" s="11">
        <f t="shared" si="2"/>
        <v>51404.424099999997</v>
      </c>
      <c r="D12" s="21" t="str">
        <f t="shared" si="3"/>
        <v>vis</v>
      </c>
      <c r="E12" s="47">
        <f>VLOOKUP(C12,Active!C$21:E$973,3,FALSE)</f>
        <v>30879.989519137653</v>
      </c>
      <c r="F12" s="5" t="s">
        <v>57</v>
      </c>
      <c r="G12" s="21" t="str">
        <f t="shared" si="4"/>
        <v>51404.4241</v>
      </c>
      <c r="H12" s="11">
        <f t="shared" si="5"/>
        <v>30880</v>
      </c>
      <c r="I12" s="48" t="s">
        <v>66</v>
      </c>
      <c r="J12" s="49" t="s">
        <v>67</v>
      </c>
      <c r="K12" s="48">
        <v>30880</v>
      </c>
      <c r="L12" s="48" t="s">
        <v>68</v>
      </c>
      <c r="M12" s="49" t="s">
        <v>62</v>
      </c>
      <c r="N12" s="49" t="s">
        <v>63</v>
      </c>
      <c r="O12" s="50" t="s">
        <v>69</v>
      </c>
      <c r="P12" s="51" t="s">
        <v>70</v>
      </c>
    </row>
    <row r="13" spans="1:16" ht="12.75" customHeight="1" thickBot="1">
      <c r="A13" s="11" t="str">
        <f t="shared" si="0"/>
        <v>IBVS 5263 </v>
      </c>
      <c r="B13" s="5" t="str">
        <f t="shared" si="1"/>
        <v>I</v>
      </c>
      <c r="C13" s="11">
        <f t="shared" si="2"/>
        <v>51465.373500000002</v>
      </c>
      <c r="D13" s="21" t="str">
        <f t="shared" si="3"/>
        <v>vis</v>
      </c>
      <c r="E13" s="47">
        <f>VLOOKUP(C13,Active!C$21:E$973,3,FALSE)</f>
        <v>30996.986272181861</v>
      </c>
      <c r="F13" s="5" t="s">
        <v>57</v>
      </c>
      <c r="G13" s="21" t="str">
        <f t="shared" si="4"/>
        <v>51465.3735</v>
      </c>
      <c r="H13" s="11">
        <f t="shared" si="5"/>
        <v>30997</v>
      </c>
      <c r="I13" s="48" t="s">
        <v>71</v>
      </c>
      <c r="J13" s="49" t="s">
        <v>72</v>
      </c>
      <c r="K13" s="48">
        <v>30997</v>
      </c>
      <c r="L13" s="48" t="s">
        <v>73</v>
      </c>
      <c r="M13" s="49" t="s">
        <v>62</v>
      </c>
      <c r="N13" s="49" t="s">
        <v>63</v>
      </c>
      <c r="O13" s="50" t="s">
        <v>69</v>
      </c>
      <c r="P13" s="51" t="s">
        <v>70</v>
      </c>
    </row>
    <row r="14" spans="1:16" ht="12.75" customHeight="1" thickBot="1">
      <c r="A14" s="11" t="str">
        <f t="shared" si="0"/>
        <v>OEJV 0074 </v>
      </c>
      <c r="B14" s="5" t="str">
        <f t="shared" si="1"/>
        <v>I</v>
      </c>
      <c r="C14" s="11">
        <f t="shared" si="2"/>
        <v>52127.503799999999</v>
      </c>
      <c r="D14" s="21" t="str">
        <f t="shared" si="3"/>
        <v>vis</v>
      </c>
      <c r="E14" s="47">
        <f>VLOOKUP(C14,Active!C$21:E$973,3,FALSE)</f>
        <v>32267.99296284957</v>
      </c>
      <c r="F14" s="5" t="s">
        <v>57</v>
      </c>
      <c r="G14" s="21" t="str">
        <f t="shared" si="4"/>
        <v>52127.50380</v>
      </c>
      <c r="H14" s="11">
        <f t="shared" si="5"/>
        <v>32268</v>
      </c>
      <c r="I14" s="48" t="s">
        <v>74</v>
      </c>
      <c r="J14" s="49" t="s">
        <v>75</v>
      </c>
      <c r="K14" s="48">
        <v>32268</v>
      </c>
      <c r="L14" s="48" t="s">
        <v>76</v>
      </c>
      <c r="M14" s="49" t="s">
        <v>77</v>
      </c>
      <c r="N14" s="49" t="s">
        <v>78</v>
      </c>
      <c r="O14" s="50" t="s">
        <v>79</v>
      </c>
      <c r="P14" s="51" t="s">
        <v>80</v>
      </c>
    </row>
    <row r="15" spans="1:16" ht="12.75" customHeight="1" thickBot="1">
      <c r="A15" s="11" t="str">
        <f t="shared" si="0"/>
        <v>BAVM 220 </v>
      </c>
      <c r="B15" s="5" t="str">
        <f t="shared" si="1"/>
        <v>I</v>
      </c>
      <c r="C15" s="11">
        <f t="shared" si="2"/>
        <v>55372.497799999997</v>
      </c>
      <c r="D15" s="21" t="str">
        <f t="shared" si="3"/>
        <v>vis</v>
      </c>
      <c r="E15" s="47">
        <f>VLOOKUP(C15,Active!C$21:E$973,3,FALSE)</f>
        <v>38496.992126876023</v>
      </c>
      <c r="F15" s="5" t="s">
        <v>57</v>
      </c>
      <c r="G15" s="21" t="str">
        <f t="shared" si="4"/>
        <v>55372.4978</v>
      </c>
      <c r="H15" s="11">
        <f t="shared" si="5"/>
        <v>38497</v>
      </c>
      <c r="I15" s="48" t="s">
        <v>81</v>
      </c>
      <c r="J15" s="49" t="s">
        <v>82</v>
      </c>
      <c r="K15" s="48">
        <v>38497</v>
      </c>
      <c r="L15" s="48" t="s">
        <v>83</v>
      </c>
      <c r="M15" s="49" t="s">
        <v>77</v>
      </c>
      <c r="N15" s="49" t="s">
        <v>78</v>
      </c>
      <c r="O15" s="50" t="s">
        <v>84</v>
      </c>
      <c r="P15" s="51" t="s">
        <v>85</v>
      </c>
    </row>
    <row r="16" spans="1:16" ht="12.75" customHeight="1" thickBot="1">
      <c r="A16" s="11" t="str">
        <f t="shared" si="0"/>
        <v>BAVM 214 </v>
      </c>
      <c r="B16" s="5" t="str">
        <f t="shared" si="1"/>
        <v>I</v>
      </c>
      <c r="C16" s="11">
        <f t="shared" si="2"/>
        <v>55385.525000000001</v>
      </c>
      <c r="D16" s="21" t="str">
        <f t="shared" si="3"/>
        <v>vis</v>
      </c>
      <c r="E16" s="47">
        <f>VLOOKUP(C16,Active!C$21:E$973,3,FALSE)</f>
        <v>38521.998773393592</v>
      </c>
      <c r="F16" s="5" t="s">
        <v>57</v>
      </c>
      <c r="G16" s="21" t="str">
        <f t="shared" si="4"/>
        <v>55385.5250</v>
      </c>
      <c r="H16" s="11">
        <f t="shared" si="5"/>
        <v>38522</v>
      </c>
      <c r="I16" s="48" t="s">
        <v>86</v>
      </c>
      <c r="J16" s="49" t="s">
        <v>87</v>
      </c>
      <c r="K16" s="48">
        <v>38522</v>
      </c>
      <c r="L16" s="48" t="s">
        <v>88</v>
      </c>
      <c r="M16" s="49" t="s">
        <v>77</v>
      </c>
      <c r="N16" s="49" t="s">
        <v>78</v>
      </c>
      <c r="O16" s="50" t="s">
        <v>89</v>
      </c>
      <c r="P16" s="51" t="s">
        <v>90</v>
      </c>
    </row>
    <row r="17" spans="2:6">
      <c r="B17" s="5"/>
      <c r="F17" s="5"/>
    </row>
    <row r="18" spans="2:6">
      <c r="B18" s="5"/>
      <c r="F18" s="5"/>
    </row>
    <row r="19" spans="2:6">
      <c r="B19" s="5"/>
      <c r="F19" s="5"/>
    </row>
    <row r="20" spans="2:6">
      <c r="B20" s="5"/>
      <c r="F20" s="5"/>
    </row>
    <row r="21" spans="2:6">
      <c r="B21" s="5"/>
      <c r="F21" s="5"/>
    </row>
    <row r="22" spans="2:6">
      <c r="B22" s="5"/>
      <c r="F22" s="5"/>
    </row>
    <row r="23" spans="2:6">
      <c r="B23" s="5"/>
      <c r="F23" s="5"/>
    </row>
    <row r="24" spans="2:6">
      <c r="B24" s="5"/>
      <c r="F24" s="5"/>
    </row>
    <row r="25" spans="2:6">
      <c r="B25" s="5"/>
      <c r="F25" s="5"/>
    </row>
    <row r="26" spans="2:6">
      <c r="B26" s="5"/>
      <c r="F26" s="5"/>
    </row>
    <row r="27" spans="2:6">
      <c r="B27" s="5"/>
      <c r="F27" s="5"/>
    </row>
    <row r="28" spans="2:6">
      <c r="B28" s="5"/>
      <c r="F28" s="5"/>
    </row>
    <row r="29" spans="2:6">
      <c r="B29" s="5"/>
      <c r="F29" s="5"/>
    </row>
    <row r="30" spans="2:6">
      <c r="B30" s="5"/>
      <c r="F30" s="5"/>
    </row>
    <row r="31" spans="2:6">
      <c r="B31" s="5"/>
      <c r="F31" s="5"/>
    </row>
    <row r="32" spans="2: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</sheetData>
  <phoneticPr fontId="7" type="noConversion"/>
  <hyperlinks>
    <hyperlink ref="P12" r:id="rId1" display="http://www.konkoly.hu/cgi-bin/IBVS?5263"/>
    <hyperlink ref="P13" r:id="rId2" display="http://www.konkoly.hu/cgi-bin/IBVS?5263"/>
    <hyperlink ref="P14" r:id="rId3" display="http://var.astro.cz/oejv/issues/oejv0074.pdf"/>
    <hyperlink ref="P15" r:id="rId4" display="http://www.bav-astro.de/sfs/BAVM_link.php?BAVMnr=220"/>
    <hyperlink ref="P16" r:id="rId5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2024-02-04T03:25:15Z</dcterms:modified>
</cp:coreProperties>
</file>