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B7F67BF-F33F-4A6F-9C90-10E6DC7468E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6" i="1" l="1"/>
  <c r="F17" i="1" s="1"/>
  <c r="D9" i="1"/>
  <c r="C9" i="1"/>
  <c r="Q23" i="1"/>
  <c r="Q25" i="1"/>
  <c r="Q27" i="1"/>
  <c r="Q28" i="1"/>
  <c r="G17" i="2"/>
  <c r="C17" i="2"/>
  <c r="G16" i="2"/>
  <c r="C16" i="2"/>
  <c r="G13" i="2"/>
  <c r="C13" i="2"/>
  <c r="G15" i="2"/>
  <c r="C15" i="2"/>
  <c r="G12" i="2"/>
  <c r="C12" i="2"/>
  <c r="G14" i="2"/>
  <c r="C14" i="2"/>
  <c r="G11" i="2"/>
  <c r="C11" i="2"/>
  <c r="H17" i="2"/>
  <c r="D17" i="2"/>
  <c r="B17" i="2"/>
  <c r="A17" i="2"/>
  <c r="H16" i="2"/>
  <c r="B16" i="2"/>
  <c r="D16" i="2"/>
  <c r="A16" i="2"/>
  <c r="H13" i="2"/>
  <c r="D13" i="2"/>
  <c r="B13" i="2"/>
  <c r="A13" i="2"/>
  <c r="H15" i="2"/>
  <c r="B15" i="2"/>
  <c r="D15" i="2"/>
  <c r="A15" i="2"/>
  <c r="H12" i="2"/>
  <c r="D12" i="2"/>
  <c r="B12" i="2"/>
  <c r="A12" i="2"/>
  <c r="H14" i="2"/>
  <c r="B14" i="2"/>
  <c r="D14" i="2"/>
  <c r="A14" i="2"/>
  <c r="H11" i="2"/>
  <c r="D11" i="2"/>
  <c r="B11" i="2"/>
  <c r="A11" i="2"/>
  <c r="Q26" i="1"/>
  <c r="C17" i="1"/>
  <c r="C7" i="1"/>
  <c r="E21" i="1"/>
  <c r="F21" i="1"/>
  <c r="C8" i="1"/>
  <c r="Q24" i="1"/>
  <c r="Q22" i="1"/>
  <c r="Q21" i="1"/>
  <c r="E13" i="2"/>
  <c r="E11" i="2"/>
  <c r="E26" i="1"/>
  <c r="F26" i="1"/>
  <c r="E23" i="1"/>
  <c r="F23" i="1"/>
  <c r="G23" i="1"/>
  <c r="I23" i="1"/>
  <c r="E28" i="1"/>
  <c r="F28" i="1"/>
  <c r="G28" i="1"/>
  <c r="I28" i="1"/>
  <c r="E25" i="1"/>
  <c r="F25" i="1"/>
  <c r="G25" i="1"/>
  <c r="I25" i="1"/>
  <c r="E22" i="1"/>
  <c r="F22" i="1"/>
  <c r="G22" i="1"/>
  <c r="J22" i="1"/>
  <c r="E27" i="1"/>
  <c r="F27" i="1"/>
  <c r="G27" i="1"/>
  <c r="I27" i="1"/>
  <c r="G21" i="1"/>
  <c r="G26" i="1"/>
  <c r="J26" i="1"/>
  <c r="E24" i="1"/>
  <c r="F24" i="1"/>
  <c r="G24" i="1"/>
  <c r="J24" i="1"/>
  <c r="E15" i="2"/>
  <c r="H21" i="1"/>
  <c r="E12" i="2"/>
  <c r="E14" i="2"/>
  <c r="E16" i="2"/>
  <c r="E17" i="2"/>
  <c r="C11" i="1"/>
  <c r="C12" i="1"/>
  <c r="C16" i="1" l="1"/>
  <c r="D18" i="1" s="1"/>
  <c r="O22" i="1"/>
  <c r="O23" i="1"/>
  <c r="O24" i="1"/>
  <c r="O27" i="1"/>
  <c r="O21" i="1"/>
  <c r="O26" i="1"/>
  <c r="O28" i="1"/>
  <c r="O25" i="1"/>
  <c r="C15" i="1"/>
  <c r="F18" i="1" l="1"/>
  <c r="F19" i="1" s="1"/>
  <c r="C18" i="1"/>
</calcChain>
</file>

<file path=xl/sharedStrings.xml><?xml version="1.0" encoding="utf-8"?>
<sst xmlns="http://schemas.openxmlformats.org/spreadsheetml/2006/main" count="134" uniqueCount="97">
  <si>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</si>
  <si>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</si>
  <si>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</si>
  <si>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</si>
  <si>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</si>
  <si>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</si>
  <si>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</si>
  <si>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</si>
  <si>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</si>
  <si>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</si>
  <si>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</si>
  <si>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</si>
  <si>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</si>
  <si>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</si>
  <si>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</si>
  <si>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</si>
  <si>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</si>
  <si>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</si>
  <si>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</si>
  <si>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</si>
  <si>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</si>
  <si>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</si>
  <si>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</si>
  <si>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</si>
  <si>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</si>
  <si>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</si>
  <si>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</si>
  <si>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</si>
  <si>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</si>
  <si>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Diethelm R</t>
  </si>
  <si>
    <t>BBSAG Bull.113</t>
  </si>
  <si>
    <t>B</t>
  </si>
  <si>
    <t>IBVS 5296</t>
  </si>
  <si>
    <t># of data points:</t>
  </si>
  <si>
    <t>IBVS 5731</t>
  </si>
  <si>
    <t>EA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</si>
  <si>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</si>
  <si>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</si>
  <si>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</si>
  <si>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</si>
  <si>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</si>
  <si>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</si>
  <si>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</si>
  <si>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</si>
  <si>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</si>
  <si>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</si>
  <si>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</si>
  <si>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2450343.4750 </t>
  </si>
  <si>
    <t> 16.09.1996 23:24 </t>
  </si>
  <si>
    <t> -0.0896 </t>
  </si>
  <si>
    <t>E </t>
  </si>
  <si>
    <t>?</t>
  </si>
  <si>
    <t> R.Diethelm </t>
  </si>
  <si>
    <t> BBS 113 </t>
  </si>
  <si>
    <t>2451429.3581 </t>
  </si>
  <si>
    <t> 07.09.1999 20:35 </t>
  </si>
  <si>
    <t> -0.0994 </t>
  </si>
  <si>
    <t> BBS 121 </t>
  </si>
  <si>
    <t>2452112.4772 </t>
  </si>
  <si>
    <t> 21.07.2001 23:27 </t>
  </si>
  <si>
    <t> -0.1056 </t>
  </si>
  <si>
    <t>-I</t>
  </si>
  <si>
    <t> P.Frank </t>
  </si>
  <si>
    <t>BAVM 152 </t>
  </si>
  <si>
    <t>2452116.4282 </t>
  </si>
  <si>
    <t> 25.07.2001 22:16 </t>
  </si>
  <si>
    <t>4561</t>
  </si>
  <si>
    <t> -0.1033 </t>
  </si>
  <si>
    <t> BBS 126 </t>
  </si>
  <si>
    <t>2453660.3599 </t>
  </si>
  <si>
    <t> 16.10.2005 20:38 </t>
  </si>
  <si>
    <t>4952</t>
  </si>
  <si>
    <t> -0.1139 </t>
  </si>
  <si>
    <t>C </t>
  </si>
  <si>
    <t> Agerer </t>
  </si>
  <si>
    <t>BAVM 178 </t>
  </si>
  <si>
    <t>2454339.5311 </t>
  </si>
  <si>
    <t> 27.08.2007 00:44 </t>
  </si>
  <si>
    <t>5124</t>
  </si>
  <si>
    <t> -0.1194 </t>
  </si>
  <si>
    <t> F.Agerer </t>
  </si>
  <si>
    <t>BAVM 193 </t>
  </si>
  <si>
    <t>2455804.4923 </t>
  </si>
  <si>
    <t> 30.08.2011 23:48 </t>
  </si>
  <si>
    <t>5495</t>
  </si>
  <si>
    <t> -0.1264 </t>
  </si>
  <si>
    <t>BAVM 225 </t>
  </si>
  <si>
    <t>I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</si>
  <si>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</si>
  <si>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</si>
  <si>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</si>
  <si>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</si>
  <si>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</si>
  <si>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</si>
  <si>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</si>
  <si>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</si>
  <si>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V0975 Cyg / GSC 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</si>
</sst>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1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5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3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3" fillId="2" borderId="12" xfId="7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Alignment="1">
      <alignment horizontal="center" wrapText="1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9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22" fontId="9" fillId="0" borderId="0" xfId="0" applyNumberFormat="1" applyFont="1">
      <alignment vertical="top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V0975 Cyg - O-C Diagr.</a:t>
            </a:r>
          </a:p>
        </c:rich>
      </c:tx>
      <c:layout>
        <c:manualLayout>
          <c:xMode val="edge"/>
          <c:yMode val="edge"/>
          <c:x val="0.32438059911932493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859581671678956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4112</c:v>
                </c:pt>
                <c:pt idx="2">
                  <c:v>4387</c:v>
                </c:pt>
                <c:pt idx="3">
                  <c:v>4560</c:v>
                </c:pt>
                <c:pt idx="4">
                  <c:v>4561</c:v>
                </c:pt>
                <c:pt idx="5">
                  <c:v>4952</c:v>
                </c:pt>
                <c:pt idx="6">
                  <c:v>5124</c:v>
                </c:pt>
                <c:pt idx="7">
                  <c:v>5495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17-42B4-9550-96C75B40C92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1.6000000000000001E-3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1.6000000000000001E-3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4112</c:v>
                </c:pt>
                <c:pt idx="2">
                  <c:v>4387</c:v>
                </c:pt>
                <c:pt idx="3">
                  <c:v>4560</c:v>
                </c:pt>
                <c:pt idx="4">
                  <c:v>4561</c:v>
                </c:pt>
                <c:pt idx="5">
                  <c:v>4952</c:v>
                </c:pt>
                <c:pt idx="6">
                  <c:v>5124</c:v>
                </c:pt>
                <c:pt idx="7">
                  <c:v>5495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2">
                  <c:v>-9.9380500003462657E-2</c:v>
                </c:pt>
                <c:pt idx="4">
                  <c:v>-0.10334149999835063</c:v>
                </c:pt>
                <c:pt idx="6">
                  <c:v>-0.1193859999984852</c:v>
                </c:pt>
                <c:pt idx="7">
                  <c:v>-0.12644249999721069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17-42B4-9550-96C75B40C92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1.6000000000000001E-3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1.6000000000000001E-3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4112</c:v>
                </c:pt>
                <c:pt idx="2">
                  <c:v>4387</c:v>
                </c:pt>
                <c:pt idx="3">
                  <c:v>4560</c:v>
                </c:pt>
                <c:pt idx="4">
                  <c:v>4561</c:v>
                </c:pt>
                <c:pt idx="5">
                  <c:v>4952</c:v>
                </c:pt>
                <c:pt idx="6">
                  <c:v>5124</c:v>
                </c:pt>
                <c:pt idx="7">
                  <c:v>5495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">
                  <c:v>-8.9568000003055204E-2</c:v>
                </c:pt>
                <c:pt idx="3">
                  <c:v>-0.10564000000158558</c:v>
                </c:pt>
                <c:pt idx="5">
                  <c:v>-0.11392799999885028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17-42B4-9550-96C75B40C92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1.6000000000000001E-3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1.6000000000000001E-3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4112</c:v>
                </c:pt>
                <c:pt idx="2">
                  <c:v>4387</c:v>
                </c:pt>
                <c:pt idx="3">
                  <c:v>4560</c:v>
                </c:pt>
                <c:pt idx="4">
                  <c:v>4561</c:v>
                </c:pt>
                <c:pt idx="5">
                  <c:v>4952</c:v>
                </c:pt>
                <c:pt idx="6">
                  <c:v>5124</c:v>
                </c:pt>
                <c:pt idx="7">
                  <c:v>5495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17-42B4-9550-96C75B40C92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1.6000000000000001E-3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1.6000000000000001E-3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4112</c:v>
                </c:pt>
                <c:pt idx="2">
                  <c:v>4387</c:v>
                </c:pt>
                <c:pt idx="3">
                  <c:v>4560</c:v>
                </c:pt>
                <c:pt idx="4">
                  <c:v>4561</c:v>
                </c:pt>
                <c:pt idx="5">
                  <c:v>4952</c:v>
                </c:pt>
                <c:pt idx="6">
                  <c:v>5124</c:v>
                </c:pt>
                <c:pt idx="7">
                  <c:v>5495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E17-42B4-9550-96C75B40C92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1.6000000000000001E-3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1.6000000000000001E-3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4112</c:v>
                </c:pt>
                <c:pt idx="2">
                  <c:v>4387</c:v>
                </c:pt>
                <c:pt idx="3">
                  <c:v>4560</c:v>
                </c:pt>
                <c:pt idx="4">
                  <c:v>4561</c:v>
                </c:pt>
                <c:pt idx="5">
                  <c:v>4952</c:v>
                </c:pt>
                <c:pt idx="6">
                  <c:v>5124</c:v>
                </c:pt>
                <c:pt idx="7">
                  <c:v>5495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E17-42B4-9550-96C75B40C92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1.6000000000000001E-3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1.6000000000000001E-3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4112</c:v>
                </c:pt>
                <c:pt idx="2">
                  <c:v>4387</c:v>
                </c:pt>
                <c:pt idx="3">
                  <c:v>4560</c:v>
                </c:pt>
                <c:pt idx="4">
                  <c:v>4561</c:v>
                </c:pt>
                <c:pt idx="5">
                  <c:v>4952</c:v>
                </c:pt>
                <c:pt idx="6">
                  <c:v>5124</c:v>
                </c:pt>
                <c:pt idx="7">
                  <c:v>5495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E17-42B4-9550-96C75B40C92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4112</c:v>
                </c:pt>
                <c:pt idx="2">
                  <c:v>4387</c:v>
                </c:pt>
                <c:pt idx="3">
                  <c:v>4560</c:v>
                </c:pt>
                <c:pt idx="4">
                  <c:v>4561</c:v>
                </c:pt>
                <c:pt idx="5">
                  <c:v>4952</c:v>
                </c:pt>
                <c:pt idx="6">
                  <c:v>5124</c:v>
                </c:pt>
                <c:pt idx="7">
                  <c:v>5495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9.2856626997438185E-4</c:v>
                </c:pt>
                <c:pt idx="1">
                  <c:v>-9.386077433504475E-2</c:v>
                </c:pt>
                <c:pt idx="2">
                  <c:v>-0.10020004200682983</c:v>
                </c:pt>
                <c:pt idx="3">
                  <c:v>-0.10418801766944373</c:v>
                </c:pt>
                <c:pt idx="4">
                  <c:v>-0.10421106955188658</c:v>
                </c:pt>
                <c:pt idx="5">
                  <c:v>-0.11322435558704283</c:v>
                </c:pt>
                <c:pt idx="6">
                  <c:v>-0.11718927936721386</c:v>
                </c:pt>
                <c:pt idx="7">
                  <c:v>-0.12574152775351299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E17-42B4-9550-96C75B40C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7849696"/>
        <c:axId val="1"/>
      </c:scatterChart>
      <c:valAx>
        <c:axId val="547849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92605366477952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849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09939046875338"/>
          <c:y val="0.91874999999999996"/>
          <c:w val="0.86363723129650116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95249</xdr:colOff>
      <xdr:row>0</xdr:row>
      <xdr:rowOff>0</xdr:rowOff>
    </xdr:from>
    <xdr:to>
      <xdr:col>17</xdr:col>
      <xdr:colOff>485774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1FA7DAA-8F93-B34B-A0F5-7FCBC5434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93" TargetMode="External"/><Relationship Id="rId2" Type="http://schemas.openxmlformats.org/officeDocument/2006/relationships/hyperlink" Target="http://www.bav-astro.de/sfs/BAVM_link.php?BAVMnr=178" TargetMode="External"/><Relationship Id="rId1" Type="http://schemas.openxmlformats.org/officeDocument/2006/relationships/hyperlink" Target="http://www.bav-astro.de/sfs/BAVM_link.php?BAVMnr=152" TargetMode="External"/><Relationship Id="rId4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9" sqref="E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96</v>
      </c>
    </row>
    <row r="2" spans="1:6">
      <c r="A2" t="s">
        <v>25</v>
      </c>
      <c r="B2" s="17" t="s">
        <v>35</v>
      </c>
    </row>
    <row r="4" spans="1:6">
      <c r="A4" s="8" t="s">
        <v>0</v>
      </c>
      <c r="C4" s="3">
        <v>34106.504000000001</v>
      </c>
      <c r="D4" s="4">
        <v>3.9487014999999999</v>
      </c>
    </row>
    <row r="5" spans="1:6">
      <c r="A5" s="36" t="s">
        <v>88</v>
      </c>
      <c r="B5" s="19"/>
      <c r="C5" s="37">
        <v>-9.5</v>
      </c>
      <c r="D5" s="19" t="s">
        <v>89</v>
      </c>
    </row>
    <row r="6" spans="1:6">
      <c r="A6" s="8" t="s">
        <v>1</v>
      </c>
    </row>
    <row r="7" spans="1:6">
      <c r="A7" t="s">
        <v>2</v>
      </c>
      <c r="C7">
        <f>+C4</f>
        <v>34106.504000000001</v>
      </c>
    </row>
    <row r="8" spans="1:6">
      <c r="A8" t="s">
        <v>3</v>
      </c>
      <c r="C8">
        <f>+D4</f>
        <v>3.9487014999999999</v>
      </c>
    </row>
    <row r="9" spans="1:6">
      <c r="A9" s="38" t="s">
        <v>90</v>
      </c>
      <c r="B9" s="39">
        <v>21</v>
      </c>
      <c r="C9" s="40" t="str">
        <f>"F"&amp;B9</f>
        <v>F21</v>
      </c>
      <c r="D9" s="41" t="str">
        <f>"G"&amp;B9</f>
        <v>G21</v>
      </c>
    </row>
    <row r="10" spans="1:6" ht="13.5" thickBot="1">
      <c r="C10" s="7" t="s">
        <v>20</v>
      </c>
      <c r="D10" s="7" t="s">
        <v>21</v>
      </c>
    </row>
    <row r="11" spans="1:6">
      <c r="A11" t="s">
        <v>16</v>
      </c>
      <c r="C11" s="42">
        <f ca="1">INTERCEPT(INDIRECT($D$9):G978,INDIRECT($C$9):F978)</f>
        <v>9.2856626997438185E-4</v>
      </c>
      <c r="D11" s="6"/>
    </row>
    <row r="12" spans="1:6">
      <c r="A12" t="s">
        <v>17</v>
      </c>
      <c r="C12" s="42">
        <f ca="1">SLOPE(INDIRECT($D$9):G978,INDIRECT($C$9):F978)</f>
        <v>-2.3051882442854848E-5</v>
      </c>
      <c r="D12" s="6"/>
    </row>
    <row r="13" spans="1:6">
      <c r="A13" t="s">
        <v>19</v>
      </c>
      <c r="C13" s="6" t="s">
        <v>14</v>
      </c>
      <c r="D13" s="6"/>
    </row>
    <row r="14" spans="1:6">
      <c r="A14" t="s">
        <v>24</v>
      </c>
    </row>
    <row r="15" spans="1:6">
      <c r="A15" s="5" t="s">
        <v>18</v>
      </c>
      <c r="C15" s="12">
        <f ca="1">(C7+C11)+(C8+C12)*INT(MAX(F21:F3533))</f>
        <v>55804.493000972245</v>
      </c>
      <c r="E15" s="43" t="s">
        <v>91</v>
      </c>
      <c r="F15" s="37">
        <v>1</v>
      </c>
    </row>
    <row r="16" spans="1:6">
      <c r="A16" s="8" t="s">
        <v>4</v>
      </c>
      <c r="C16" s="13">
        <f ca="1">+C8+C12</f>
        <v>3.948678448117557</v>
      </c>
      <c r="E16" s="43" t="s">
        <v>92</v>
      </c>
      <c r="F16" s="44">
        <f ca="1">NOW()+15018.5+$C$5/24</f>
        <v>60344.686678472222</v>
      </c>
    </row>
    <row r="17" spans="1:31" ht="13.5" thickBot="1">
      <c r="A17" s="14" t="s">
        <v>33</v>
      </c>
      <c r="C17">
        <f>COUNT(C21:C2191)</f>
        <v>8</v>
      </c>
      <c r="E17" s="43" t="s">
        <v>93</v>
      </c>
      <c r="F17" s="44">
        <f ca="1">ROUND(2*(F16-$C$7)/$C$8,0)/2+F15</f>
        <v>6646</v>
      </c>
    </row>
    <row r="18" spans="1:31">
      <c r="A18" s="8" t="s">
        <v>5</v>
      </c>
      <c r="C18" s="3">
        <f ca="1">+C15</f>
        <v>55804.493000972245</v>
      </c>
      <c r="D18" s="4">
        <f ca="1">+C16</f>
        <v>3.948678448117557</v>
      </c>
      <c r="E18" s="43" t="s">
        <v>94</v>
      </c>
      <c r="F18" s="41">
        <f ca="1">ROUND(2*(F16-$C$15)/$C$16,0)/2+F15</f>
        <v>1151</v>
      </c>
    </row>
    <row r="19" spans="1:31" ht="13.5" thickTop="1">
      <c r="E19" s="43" t="s">
        <v>95</v>
      </c>
      <c r="F19" s="45">
        <f ca="1">+$C$15+$C$16*F18-15018.5-$C$5/24</f>
        <v>45331.317728088885</v>
      </c>
    </row>
    <row r="20" spans="1:31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43</v>
      </c>
      <c r="I20" s="10" t="s">
        <v>46</v>
      </c>
      <c r="J20" s="10" t="s">
        <v>40</v>
      </c>
      <c r="K20" s="10" t="s">
        <v>38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</row>
    <row r="21" spans="1:31">
      <c r="A21" t="s">
        <v>12</v>
      </c>
      <c r="C21" s="20">
        <v>34106.504000000001</v>
      </c>
      <c r="D21" s="20" t="s">
        <v>14</v>
      </c>
      <c r="E21">
        <f t="shared" ref="E21:E28" si="0">+(C21-C$7)/C$8</f>
        <v>0</v>
      </c>
      <c r="F21">
        <f t="shared" ref="F21:F28" si="1">ROUND(2*E21,0)/2</f>
        <v>0</v>
      </c>
      <c r="G21">
        <f t="shared" ref="G21:G28" si="2">+C21-(C$7+F21*C$8)</f>
        <v>0</v>
      </c>
      <c r="H21">
        <f>+G21</f>
        <v>0</v>
      </c>
      <c r="O21">
        <f t="shared" ref="O21:O28" ca="1" si="3">+C$11+C$12*F21</f>
        <v>9.2856626997438185E-4</v>
      </c>
      <c r="Q21" s="2">
        <f t="shared" ref="Q21:Q28" si="4">+C21-15018.5</f>
        <v>19088.004000000001</v>
      </c>
    </row>
    <row r="22" spans="1:31">
      <c r="A22" t="s">
        <v>30</v>
      </c>
      <c r="C22" s="33">
        <v>50343.474999999999</v>
      </c>
      <c r="D22" s="20">
        <v>1.6000000000000001E-3</v>
      </c>
      <c r="E22">
        <f t="shared" si="0"/>
        <v>4111.9773171003171</v>
      </c>
      <c r="F22">
        <f t="shared" si="1"/>
        <v>4112</v>
      </c>
      <c r="G22">
        <f t="shared" si="2"/>
        <v>-8.9568000003055204E-2</v>
      </c>
      <c r="J22">
        <f>+G22</f>
        <v>-8.9568000003055204E-2</v>
      </c>
      <c r="O22">
        <f t="shared" ca="1" si="3"/>
        <v>-9.386077433504475E-2</v>
      </c>
      <c r="Q22" s="2">
        <f t="shared" si="4"/>
        <v>35324.974999999999</v>
      </c>
      <c r="AA22">
        <v>14</v>
      </c>
      <c r="AC22" t="s">
        <v>29</v>
      </c>
      <c r="AE22" t="s">
        <v>31</v>
      </c>
    </row>
    <row r="23" spans="1:31">
      <c r="A23" t="s">
        <v>57</v>
      </c>
      <c r="B23" s="6" t="s">
        <v>87</v>
      </c>
      <c r="C23" s="33">
        <v>51429.358099999998</v>
      </c>
      <c r="D23" s="20" t="s">
        <v>46</v>
      </c>
      <c r="E23">
        <f t="shared" si="0"/>
        <v>4386.9748321061998</v>
      </c>
      <c r="F23">
        <f t="shared" si="1"/>
        <v>4387</v>
      </c>
      <c r="G23">
        <f t="shared" si="2"/>
        <v>-9.9380500003462657E-2</v>
      </c>
      <c r="I23">
        <f>+G23</f>
        <v>-9.9380500003462657E-2</v>
      </c>
      <c r="O23">
        <f t="shared" ca="1" si="3"/>
        <v>-0.10020004200682983</v>
      </c>
      <c r="Q23" s="2">
        <f t="shared" si="4"/>
        <v>36410.858099999998</v>
      </c>
    </row>
    <row r="24" spans="1:31">
      <c r="A24" s="11" t="s">
        <v>32</v>
      </c>
      <c r="B24" s="35"/>
      <c r="C24" s="34">
        <v>52112.477200000001</v>
      </c>
      <c r="D24" s="34">
        <v>5.9999999999999995E-4</v>
      </c>
      <c r="E24">
        <f t="shared" si="0"/>
        <v>4559.9732469015453</v>
      </c>
      <c r="F24">
        <f t="shared" si="1"/>
        <v>4560</v>
      </c>
      <c r="G24">
        <f t="shared" si="2"/>
        <v>-0.10564000000158558</v>
      </c>
      <c r="J24">
        <f>+G24</f>
        <v>-0.10564000000158558</v>
      </c>
      <c r="O24">
        <f t="shared" ca="1" si="3"/>
        <v>-0.10418801766944373</v>
      </c>
      <c r="Q24" s="2">
        <f t="shared" si="4"/>
        <v>37093.977200000001</v>
      </c>
    </row>
    <row r="25" spans="1:31">
      <c r="A25" t="s">
        <v>68</v>
      </c>
      <c r="B25" s="6" t="s">
        <v>87</v>
      </c>
      <c r="C25" s="20">
        <v>52116.428200000002</v>
      </c>
      <c r="D25" s="20" t="s">
        <v>46</v>
      </c>
      <c r="E25">
        <f t="shared" si="0"/>
        <v>4560.9738289916322</v>
      </c>
      <c r="F25">
        <f t="shared" si="1"/>
        <v>4561</v>
      </c>
      <c r="G25">
        <f t="shared" si="2"/>
        <v>-0.10334149999835063</v>
      </c>
      <c r="I25">
        <f>+G25</f>
        <v>-0.10334149999835063</v>
      </c>
      <c r="O25">
        <f t="shared" ca="1" si="3"/>
        <v>-0.10421106955188658</v>
      </c>
      <c r="Q25" s="2">
        <f t="shared" si="4"/>
        <v>37097.928200000002</v>
      </c>
    </row>
    <row r="26" spans="1:31">
      <c r="A26" s="15" t="s">
        <v>34</v>
      </c>
      <c r="B26" s="16"/>
      <c r="C26" s="11">
        <v>53660.359900000003</v>
      </c>
      <c r="D26" s="11">
        <v>8.0000000000000004E-4</v>
      </c>
      <c r="E26">
        <f t="shared" si="0"/>
        <v>4951.9711479837115</v>
      </c>
      <c r="F26">
        <f t="shared" si="1"/>
        <v>4952</v>
      </c>
      <c r="G26">
        <f t="shared" si="2"/>
        <v>-0.11392799999885028</v>
      </c>
      <c r="J26">
        <f>+G26</f>
        <v>-0.11392799999885028</v>
      </c>
      <c r="O26">
        <f t="shared" ca="1" si="3"/>
        <v>-0.11322435558704283</v>
      </c>
      <c r="Q26" s="2">
        <f t="shared" si="4"/>
        <v>38641.859900000003</v>
      </c>
    </row>
    <row r="27" spans="1:31">
      <c r="A27" t="s">
        <v>81</v>
      </c>
      <c r="B27" s="6" t="s">
        <v>87</v>
      </c>
      <c r="C27" s="20">
        <v>54339.5311</v>
      </c>
      <c r="D27" s="20" t="s">
        <v>46</v>
      </c>
      <c r="E27">
        <f t="shared" si="0"/>
        <v>5123.9697657571733</v>
      </c>
      <c r="F27">
        <f t="shared" si="1"/>
        <v>5124</v>
      </c>
      <c r="G27">
        <f t="shared" si="2"/>
        <v>-0.1193859999984852</v>
      </c>
      <c r="I27">
        <f>+G27</f>
        <v>-0.1193859999984852</v>
      </c>
      <c r="O27">
        <f t="shared" ca="1" si="3"/>
        <v>-0.11718927936721386</v>
      </c>
      <c r="Q27" s="2">
        <f t="shared" si="4"/>
        <v>39321.0311</v>
      </c>
    </row>
    <row r="28" spans="1:31">
      <c r="A28" t="s">
        <v>86</v>
      </c>
      <c r="B28" s="6" t="s">
        <v>87</v>
      </c>
      <c r="C28" s="20">
        <v>55804.492299999998</v>
      </c>
      <c r="D28" s="20" t="s">
        <v>46</v>
      </c>
      <c r="E28">
        <f t="shared" si="0"/>
        <v>5494.9679787140149</v>
      </c>
      <c r="F28">
        <f t="shared" si="1"/>
        <v>5495</v>
      </c>
      <c r="G28">
        <f t="shared" si="2"/>
        <v>-0.12644249999721069</v>
      </c>
      <c r="I28">
        <f>+G28</f>
        <v>-0.12644249999721069</v>
      </c>
      <c r="O28">
        <f t="shared" ca="1" si="3"/>
        <v>-0.12574152775351299</v>
      </c>
      <c r="Q28" s="2">
        <f t="shared" si="4"/>
        <v>40785.992299999998</v>
      </c>
    </row>
    <row r="29" spans="1:31">
      <c r="B29" s="6"/>
      <c r="D29" s="6"/>
    </row>
    <row r="30" spans="1:31">
      <c r="D30" s="6"/>
    </row>
    <row r="31" spans="1:31">
      <c r="D31" s="6"/>
    </row>
    <row r="32" spans="1:31">
      <c r="D32" s="6"/>
    </row>
    <row r="33" spans="4:4">
      <c r="D33" s="6"/>
    </row>
    <row r="34" spans="4:4">
      <c r="D34" s="6"/>
    </row>
    <row r="35" spans="4:4">
      <c r="D35" s="6"/>
    </row>
    <row r="36" spans="4:4">
      <c r="D36" s="6"/>
    </row>
    <row r="37" spans="4:4">
      <c r="D37" s="6"/>
    </row>
    <row r="38" spans="4:4">
      <c r="D38" s="6"/>
    </row>
    <row r="39" spans="4:4">
      <c r="D39" s="6"/>
    </row>
    <row r="40" spans="4:4">
      <c r="D40" s="6"/>
    </row>
    <row r="41" spans="4:4">
      <c r="D41" s="6"/>
    </row>
    <row r="42" spans="4:4">
      <c r="D42" s="6"/>
    </row>
    <row r="43" spans="4:4">
      <c r="D43" s="6"/>
    </row>
    <row r="44" spans="4:4">
      <c r="D44" s="6"/>
    </row>
    <row r="45" spans="4:4">
      <c r="D45" s="6"/>
    </row>
    <row r="46" spans="4:4">
      <c r="D46" s="6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5"/>
  <sheetViews>
    <sheetView workbookViewId="0">
      <selection activeCell="A14" sqref="A14:D17"/>
    </sheetView>
  </sheetViews>
  <sheetFormatPr defaultRowHeight="12.75"/>
  <cols>
    <col min="1" max="1" width="19.7109375" style="20" customWidth="1"/>
    <col min="2" max="2" width="4.42578125" style="19" customWidth="1"/>
    <col min="3" max="3" width="12.7109375" style="20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20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>
      <c r="A1" s="18" t="s">
        <v>36</v>
      </c>
      <c r="I1" s="21" t="s">
        <v>37</v>
      </c>
      <c r="J1" s="22" t="s">
        <v>38</v>
      </c>
    </row>
    <row r="2" spans="1:16">
      <c r="I2" s="23" t="s">
        <v>39</v>
      </c>
      <c r="J2" s="24" t="s">
        <v>40</v>
      </c>
    </row>
    <row r="3" spans="1:16">
      <c r="A3" s="25" t="s">
        <v>41</v>
      </c>
      <c r="I3" s="23" t="s">
        <v>42</v>
      </c>
      <c r="J3" s="24" t="s">
        <v>43</v>
      </c>
    </row>
    <row r="4" spans="1:16">
      <c r="I4" s="23" t="s">
        <v>44</v>
      </c>
      <c r="J4" s="24" t="s">
        <v>43</v>
      </c>
    </row>
    <row r="5" spans="1:16" ht="13.5" thickBot="1">
      <c r="I5" s="26" t="s">
        <v>45</v>
      </c>
      <c r="J5" s="27" t="s">
        <v>46</v>
      </c>
    </row>
    <row r="10" spans="1:16" ht="13.5" thickBot="1"/>
    <row r="11" spans="1:16" ht="12.75" customHeight="1" thickBot="1">
      <c r="A11" s="20" t="str">
        <f t="shared" ref="A11:A17" si="0">P11</f>
        <v> BBS 113 </v>
      </c>
      <c r="B11" s="6" t="str">
        <f t="shared" ref="B11:B17" si="1">IF(H11=INT(H11),"I","II")</f>
        <v>I</v>
      </c>
      <c r="C11" s="20">
        <f t="shared" ref="C11:C17" si="2">1*G11</f>
        <v>50343.474999999999</v>
      </c>
      <c r="D11" s="19" t="str">
        <f t="shared" ref="D11:D17" si="3">VLOOKUP(F11,I$1:J$5,2,FALSE)</f>
        <v>vis</v>
      </c>
      <c r="E11" s="28">
        <f>VLOOKUP(C11,Active!C$21:E$973,3,FALSE)</f>
        <v>4111.9773171003171</v>
      </c>
      <c r="F11" s="6" t="s">
        <v>45</v>
      </c>
      <c r="G11" s="19" t="str">
        <f t="shared" ref="G11:G17" si="4">MID(I11,3,LEN(I11)-3)</f>
        <v>50343.4750</v>
      </c>
      <c r="H11" s="20">
        <f t="shared" ref="H11:H17" si="5">1*K11</f>
        <v>4112</v>
      </c>
      <c r="I11" s="29" t="s">
        <v>47</v>
      </c>
      <c r="J11" s="30" t="s">
        <v>48</v>
      </c>
      <c r="K11" s="29">
        <v>4112</v>
      </c>
      <c r="L11" s="29" t="s">
        <v>49</v>
      </c>
      <c r="M11" s="30" t="s">
        <v>50</v>
      </c>
      <c r="N11" s="30" t="s">
        <v>51</v>
      </c>
      <c r="O11" s="31" t="s">
        <v>52</v>
      </c>
      <c r="P11" s="31" t="s">
        <v>53</v>
      </c>
    </row>
    <row r="12" spans="1:16" ht="12.75" customHeight="1" thickBot="1">
      <c r="A12" s="20" t="str">
        <f t="shared" si="0"/>
        <v>BAVM 152 </v>
      </c>
      <c r="B12" s="6" t="str">
        <f t="shared" si="1"/>
        <v>I</v>
      </c>
      <c r="C12" s="20">
        <f t="shared" si="2"/>
        <v>52112.477200000001</v>
      </c>
      <c r="D12" s="19" t="str">
        <f t="shared" si="3"/>
        <v>vis</v>
      </c>
      <c r="E12" s="28">
        <f>VLOOKUP(C12,Active!C$21:E$973,3,FALSE)</f>
        <v>4559.9732469015453</v>
      </c>
      <c r="F12" s="6" t="s">
        <v>45</v>
      </c>
      <c r="G12" s="19" t="str">
        <f t="shared" si="4"/>
        <v>52112.4772</v>
      </c>
      <c r="H12" s="20">
        <f t="shared" si="5"/>
        <v>4560</v>
      </c>
      <c r="I12" s="29" t="s">
        <v>58</v>
      </c>
      <c r="J12" s="30" t="s">
        <v>59</v>
      </c>
      <c r="K12" s="29">
        <v>4560</v>
      </c>
      <c r="L12" s="29" t="s">
        <v>60</v>
      </c>
      <c r="M12" s="30" t="s">
        <v>50</v>
      </c>
      <c r="N12" s="30" t="s">
        <v>61</v>
      </c>
      <c r="O12" s="31" t="s">
        <v>62</v>
      </c>
      <c r="P12" s="32" t="s">
        <v>63</v>
      </c>
    </row>
    <row r="13" spans="1:16" ht="12.75" customHeight="1" thickBot="1">
      <c r="A13" s="20" t="str">
        <f t="shared" si="0"/>
        <v>BAVM 178 </v>
      </c>
      <c r="B13" s="6" t="str">
        <f t="shared" si="1"/>
        <v>I</v>
      </c>
      <c r="C13" s="20">
        <f t="shared" si="2"/>
        <v>53660.359900000003</v>
      </c>
      <c r="D13" s="19" t="str">
        <f t="shared" si="3"/>
        <v>vis</v>
      </c>
      <c r="E13" s="28">
        <f>VLOOKUP(C13,Active!C$21:E$973,3,FALSE)</f>
        <v>4951.9711479837115</v>
      </c>
      <c r="F13" s="6" t="s">
        <v>45</v>
      </c>
      <c r="G13" s="19" t="str">
        <f t="shared" si="4"/>
        <v>53660.3599</v>
      </c>
      <c r="H13" s="20">
        <f t="shared" si="5"/>
        <v>4952</v>
      </c>
      <c r="I13" s="29" t="s">
        <v>69</v>
      </c>
      <c r="J13" s="30" t="s">
        <v>70</v>
      </c>
      <c r="K13" s="29" t="s">
        <v>71</v>
      </c>
      <c r="L13" s="29" t="s">
        <v>72</v>
      </c>
      <c r="M13" s="30" t="s">
        <v>73</v>
      </c>
      <c r="N13" s="30" t="s">
        <v>61</v>
      </c>
      <c r="O13" s="31" t="s">
        <v>74</v>
      </c>
      <c r="P13" s="32" t="s">
        <v>75</v>
      </c>
    </row>
    <row r="14" spans="1:16" ht="12.75" customHeight="1" thickBot="1">
      <c r="A14" s="20" t="str">
        <f t="shared" si="0"/>
        <v> BBS 121 </v>
      </c>
      <c r="B14" s="6" t="str">
        <f t="shared" si="1"/>
        <v>I</v>
      </c>
      <c r="C14" s="20">
        <f t="shared" si="2"/>
        <v>51429.358099999998</v>
      </c>
      <c r="D14" s="19" t="str">
        <f t="shared" si="3"/>
        <v>vis</v>
      </c>
      <c r="E14" s="28">
        <f>VLOOKUP(C14,Active!C$21:E$973,3,FALSE)</f>
        <v>4386.9748321061998</v>
      </c>
      <c r="F14" s="6" t="s">
        <v>45</v>
      </c>
      <c r="G14" s="19" t="str">
        <f t="shared" si="4"/>
        <v>51429.3581</v>
      </c>
      <c r="H14" s="20">
        <f t="shared" si="5"/>
        <v>4387</v>
      </c>
      <c r="I14" s="29" t="s">
        <v>54</v>
      </c>
      <c r="J14" s="30" t="s">
        <v>55</v>
      </c>
      <c r="K14" s="29">
        <v>4387</v>
      </c>
      <c r="L14" s="29" t="s">
        <v>56</v>
      </c>
      <c r="M14" s="30" t="s">
        <v>50</v>
      </c>
      <c r="N14" s="30" t="s">
        <v>51</v>
      </c>
      <c r="O14" s="31" t="s">
        <v>52</v>
      </c>
      <c r="P14" s="31" t="s">
        <v>57</v>
      </c>
    </row>
    <row r="15" spans="1:16" ht="12.75" customHeight="1" thickBot="1">
      <c r="A15" s="20" t="str">
        <f t="shared" si="0"/>
        <v> BBS 126 </v>
      </c>
      <c r="B15" s="6" t="str">
        <f t="shared" si="1"/>
        <v>I</v>
      </c>
      <c r="C15" s="20">
        <f t="shared" si="2"/>
        <v>52116.428200000002</v>
      </c>
      <c r="D15" s="19" t="str">
        <f t="shared" si="3"/>
        <v>vis</v>
      </c>
      <c r="E15" s="28">
        <f>VLOOKUP(C15,Active!C$21:E$973,3,FALSE)</f>
        <v>4560.9738289916322</v>
      </c>
      <c r="F15" s="6" t="s">
        <v>45</v>
      </c>
      <c r="G15" s="19" t="str">
        <f t="shared" si="4"/>
        <v>52116.4282</v>
      </c>
      <c r="H15" s="20">
        <f t="shared" si="5"/>
        <v>4561</v>
      </c>
      <c r="I15" s="29" t="s">
        <v>64</v>
      </c>
      <c r="J15" s="30" t="s">
        <v>65</v>
      </c>
      <c r="K15" s="29" t="s">
        <v>66</v>
      </c>
      <c r="L15" s="29" t="s">
        <v>67</v>
      </c>
      <c r="M15" s="30" t="s">
        <v>50</v>
      </c>
      <c r="N15" s="30" t="s">
        <v>51</v>
      </c>
      <c r="O15" s="31" t="s">
        <v>52</v>
      </c>
      <c r="P15" s="31" t="s">
        <v>68</v>
      </c>
    </row>
    <row r="16" spans="1:16" ht="12.75" customHeight="1" thickBot="1">
      <c r="A16" s="20" t="str">
        <f t="shared" si="0"/>
        <v>BAVM 193 </v>
      </c>
      <c r="B16" s="6" t="str">
        <f t="shared" si="1"/>
        <v>I</v>
      </c>
      <c r="C16" s="20">
        <f t="shared" si="2"/>
        <v>54339.5311</v>
      </c>
      <c r="D16" s="19" t="str">
        <f t="shared" si="3"/>
        <v>vis</v>
      </c>
      <c r="E16" s="28">
        <f>VLOOKUP(C16,Active!C$21:E$973,3,FALSE)</f>
        <v>5123.9697657571733</v>
      </c>
      <c r="F16" s="6" t="s">
        <v>45</v>
      </c>
      <c r="G16" s="19" t="str">
        <f t="shared" si="4"/>
        <v>54339.5311</v>
      </c>
      <c r="H16" s="20">
        <f t="shared" si="5"/>
        <v>5124</v>
      </c>
      <c r="I16" s="29" t="s">
        <v>76</v>
      </c>
      <c r="J16" s="30" t="s">
        <v>77</v>
      </c>
      <c r="K16" s="29" t="s">
        <v>78</v>
      </c>
      <c r="L16" s="29" t="s">
        <v>79</v>
      </c>
      <c r="M16" s="30" t="s">
        <v>73</v>
      </c>
      <c r="N16" s="30" t="s">
        <v>61</v>
      </c>
      <c r="O16" s="31" t="s">
        <v>80</v>
      </c>
      <c r="P16" s="32" t="s">
        <v>81</v>
      </c>
    </row>
    <row r="17" spans="1:16" ht="12.75" customHeight="1" thickBot="1">
      <c r="A17" s="20" t="str">
        <f t="shared" si="0"/>
        <v>BAVM 225 </v>
      </c>
      <c r="B17" s="6" t="str">
        <f t="shared" si="1"/>
        <v>I</v>
      </c>
      <c r="C17" s="20">
        <f t="shared" si="2"/>
        <v>55804.492299999998</v>
      </c>
      <c r="D17" s="19" t="str">
        <f t="shared" si="3"/>
        <v>vis</v>
      </c>
      <c r="E17" s="28">
        <f>VLOOKUP(C17,Active!C$21:E$973,3,FALSE)</f>
        <v>5494.9679787140149</v>
      </c>
      <c r="F17" s="6" t="s">
        <v>45</v>
      </c>
      <c r="G17" s="19" t="str">
        <f t="shared" si="4"/>
        <v>55804.4923</v>
      </c>
      <c r="H17" s="20">
        <f t="shared" si="5"/>
        <v>5495</v>
      </c>
      <c r="I17" s="29" t="s">
        <v>82</v>
      </c>
      <c r="J17" s="30" t="s">
        <v>83</v>
      </c>
      <c r="K17" s="29" t="s">
        <v>84</v>
      </c>
      <c r="L17" s="29" t="s">
        <v>85</v>
      </c>
      <c r="M17" s="30" t="s">
        <v>73</v>
      </c>
      <c r="N17" s="30" t="s">
        <v>61</v>
      </c>
      <c r="O17" s="31" t="s">
        <v>80</v>
      </c>
      <c r="P17" s="32" t="s">
        <v>86</v>
      </c>
    </row>
    <row r="18" spans="1:16">
      <c r="B18" s="6"/>
      <c r="F18" s="6"/>
    </row>
    <row r="19" spans="1:16">
      <c r="B19" s="6"/>
      <c r="F19" s="6"/>
    </row>
    <row r="20" spans="1:16">
      <c r="B20" s="6"/>
      <c r="F20" s="6"/>
    </row>
    <row r="21" spans="1:16">
      <c r="B21" s="6"/>
      <c r="F21" s="6"/>
    </row>
    <row r="22" spans="1:16">
      <c r="B22" s="6"/>
      <c r="F22" s="6"/>
    </row>
    <row r="23" spans="1:16">
      <c r="B23" s="6"/>
      <c r="F23" s="6"/>
    </row>
    <row r="24" spans="1:16">
      <c r="B24" s="6"/>
      <c r="F24" s="6"/>
    </row>
    <row r="25" spans="1:16">
      <c r="B25" s="6"/>
      <c r="F25" s="6"/>
    </row>
    <row r="26" spans="1:16">
      <c r="B26" s="6"/>
      <c r="F26" s="6"/>
    </row>
    <row r="27" spans="1:16">
      <c r="B27" s="6"/>
      <c r="F27" s="6"/>
    </row>
    <row r="28" spans="1:16">
      <c r="B28" s="6"/>
      <c r="F28" s="6"/>
    </row>
    <row r="29" spans="1:16">
      <c r="B29" s="6"/>
      <c r="F29" s="6"/>
    </row>
    <row r="30" spans="1:16">
      <c r="B30" s="6"/>
      <c r="F30" s="6"/>
    </row>
    <row r="31" spans="1:16">
      <c r="B31" s="6"/>
      <c r="F31" s="6"/>
    </row>
    <row r="32" spans="1:16">
      <c r="B32" s="6"/>
      <c r="F32" s="6"/>
    </row>
    <row r="33" spans="2:6">
      <c r="B33" s="6"/>
      <c r="F33" s="6"/>
    </row>
    <row r="34" spans="2:6">
      <c r="B34" s="6"/>
      <c r="F34" s="6"/>
    </row>
    <row r="35" spans="2:6">
      <c r="B35" s="6"/>
      <c r="F35" s="6"/>
    </row>
    <row r="36" spans="2:6">
      <c r="B36" s="6"/>
      <c r="F36" s="6"/>
    </row>
    <row r="37" spans="2:6">
      <c r="B37" s="6"/>
      <c r="F37" s="6"/>
    </row>
    <row r="38" spans="2:6">
      <c r="B38" s="6"/>
      <c r="F38" s="6"/>
    </row>
    <row r="39" spans="2:6">
      <c r="B39" s="6"/>
      <c r="F39" s="6"/>
    </row>
    <row r="40" spans="2:6">
      <c r="B40" s="6"/>
      <c r="F40" s="6"/>
    </row>
    <row r="41" spans="2:6">
      <c r="B41" s="6"/>
      <c r="F41" s="6"/>
    </row>
    <row r="42" spans="2:6">
      <c r="B42" s="6"/>
      <c r="F42" s="6"/>
    </row>
    <row r="43" spans="2:6">
      <c r="B43" s="6"/>
      <c r="F43" s="6"/>
    </row>
    <row r="44" spans="2:6">
      <c r="B44" s="6"/>
      <c r="F44" s="6"/>
    </row>
    <row r="45" spans="2:6">
      <c r="B45" s="6"/>
      <c r="F45" s="6"/>
    </row>
    <row r="46" spans="2:6">
      <c r="B46" s="6"/>
      <c r="F46" s="6"/>
    </row>
    <row r="47" spans="2:6">
      <c r="B47" s="6"/>
      <c r="F47" s="6"/>
    </row>
    <row r="48" spans="2:6">
      <c r="B48" s="6"/>
      <c r="F48" s="6"/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</sheetData>
  <phoneticPr fontId="7" type="noConversion"/>
  <hyperlinks>
    <hyperlink ref="P12" r:id="rId1" display="http://www.bav-astro.de/sfs/BAVM_link.php?BAVMnr=152"/>
    <hyperlink ref="P13" r:id="rId2" display="http://www.bav-astro.de/sfs/BAVM_link.php?BAVMnr=178"/>
    <hyperlink ref="P16" r:id="rId3" display="http://www.bav-astro.de/sfs/BAVM_link.php?BAVMnr=193"/>
    <hyperlink ref="P17" r:id="rId4" display="http://www.bav-astro.de/sfs/BAVM_link.php?BAVMnr=225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2024-02-04T03:28:49Z</dcterms:modified>
</cp:coreProperties>
</file>