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2D0DFE-38A7-4F55-B6CD-85C8AEFB3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3" r:id="rId2"/>
    <sheet name="Q_fit" sheetId="2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88" i="1" l="1"/>
  <c r="F88" i="1"/>
  <c r="G88" i="1" s="1"/>
  <c r="K88" i="1" s="1"/>
  <c r="P88" i="1"/>
  <c r="E89" i="1"/>
  <c r="F89" i="1"/>
  <c r="G89" i="1" s="1"/>
  <c r="K89" i="1" s="1"/>
  <c r="P89" i="1"/>
  <c r="E90" i="1"/>
  <c r="F90" i="1"/>
  <c r="G90" i="1" s="1"/>
  <c r="K90" i="1" s="1"/>
  <c r="P90" i="1"/>
  <c r="D11" i="1"/>
  <c r="D12" i="1"/>
  <c r="D13" i="1"/>
  <c r="E21" i="1"/>
  <c r="F21" i="1"/>
  <c r="E22" i="1"/>
  <c r="F22" i="1" s="1"/>
  <c r="G22" i="1" s="1"/>
  <c r="E23" i="1"/>
  <c r="F23" i="1"/>
  <c r="G23" i="1" s="1"/>
  <c r="E24" i="1"/>
  <c r="F24" i="1"/>
  <c r="G24" i="1"/>
  <c r="E25" i="1"/>
  <c r="F25" i="1" s="1"/>
  <c r="G25" i="1" s="1"/>
  <c r="E26" i="1"/>
  <c r="F26" i="1" s="1"/>
  <c r="G26" i="1" s="1"/>
  <c r="E27" i="1"/>
  <c r="F27" i="1"/>
  <c r="G27" i="1" s="1"/>
  <c r="E28" i="1"/>
  <c r="F28" i="1" s="1"/>
  <c r="E29" i="1"/>
  <c r="F29" i="1" s="1"/>
  <c r="G29" i="1" s="1"/>
  <c r="E30" i="1"/>
  <c r="F30" i="1" s="1"/>
  <c r="G30" i="1" s="1"/>
  <c r="E32" i="1"/>
  <c r="F32" i="1"/>
  <c r="G32" i="1" s="1"/>
  <c r="E33" i="1"/>
  <c r="F33" i="1"/>
  <c r="G33" i="1"/>
  <c r="E34" i="1"/>
  <c r="F34" i="1" s="1"/>
  <c r="E35" i="1"/>
  <c r="F35" i="1" s="1"/>
  <c r="G35" i="1" s="1"/>
  <c r="E36" i="1"/>
  <c r="F36" i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/>
  <c r="G40" i="1" s="1"/>
  <c r="E41" i="1"/>
  <c r="F41" i="1"/>
  <c r="G41" i="1"/>
  <c r="E42" i="1"/>
  <c r="F42" i="1" s="1"/>
  <c r="G42" i="1" s="1"/>
  <c r="E43" i="1"/>
  <c r="F43" i="1" s="1"/>
  <c r="G43" i="1" s="1"/>
  <c r="E44" i="1"/>
  <c r="F44" i="1"/>
  <c r="G44" i="1" s="1"/>
  <c r="E76" i="1"/>
  <c r="F76" i="1" s="1"/>
  <c r="E77" i="1"/>
  <c r="F77" i="1"/>
  <c r="G77" i="1"/>
  <c r="I77" i="1" s="1"/>
  <c r="E78" i="1"/>
  <c r="F78" i="1" s="1"/>
  <c r="G78" i="1" s="1"/>
  <c r="I78" i="1" s="1"/>
  <c r="E79" i="1"/>
  <c r="F79" i="1"/>
  <c r="G79" i="1"/>
  <c r="I79" i="1" s="1"/>
  <c r="E80" i="1"/>
  <c r="F80" i="1" s="1"/>
  <c r="E82" i="1"/>
  <c r="F82" i="1"/>
  <c r="G82" i="1"/>
  <c r="I82" i="1" s="1"/>
  <c r="E83" i="1"/>
  <c r="F83" i="1" s="1"/>
  <c r="G83" i="1" s="1"/>
  <c r="I83" i="1" s="1"/>
  <c r="E85" i="1"/>
  <c r="F85" i="1"/>
  <c r="G85" i="1"/>
  <c r="I85" i="1" s="1"/>
  <c r="E86" i="1"/>
  <c r="F86" i="1" s="1"/>
  <c r="E87" i="1"/>
  <c r="F87" i="1"/>
  <c r="G87" i="1"/>
  <c r="I87" i="1" s="1"/>
  <c r="E31" i="1"/>
  <c r="F31" i="1" s="1"/>
  <c r="G31" i="1" s="1"/>
  <c r="G55" i="1"/>
  <c r="G56" i="1"/>
  <c r="E57" i="1"/>
  <c r="F57" i="1"/>
  <c r="E62" i="1"/>
  <c r="F62" i="1" s="1"/>
  <c r="G62" i="1" s="1"/>
  <c r="E63" i="1"/>
  <c r="F63" i="1" s="1"/>
  <c r="G63" i="1" s="1"/>
  <c r="E61" i="1"/>
  <c r="F61" i="1" s="1"/>
  <c r="G61" i="1" s="1"/>
  <c r="E64" i="1"/>
  <c r="F64" i="1"/>
  <c r="G64" i="1" s="1"/>
  <c r="E68" i="1"/>
  <c r="F68" i="1"/>
  <c r="G68" i="1"/>
  <c r="E69" i="1"/>
  <c r="F69" i="1" s="1"/>
  <c r="G69" i="1" s="1"/>
  <c r="E70" i="1"/>
  <c r="F70" i="1" s="1"/>
  <c r="G70" i="1" s="1"/>
  <c r="E71" i="1"/>
  <c r="F71" i="1"/>
  <c r="G71" i="1" s="1"/>
  <c r="E72" i="1"/>
  <c r="F72" i="1" s="1"/>
  <c r="G72" i="1" s="1"/>
  <c r="E73" i="1"/>
  <c r="F73" i="1" s="1"/>
  <c r="G73" i="1" s="1"/>
  <c r="E74" i="1"/>
  <c r="F74" i="1" s="1"/>
  <c r="G74" i="1" s="1"/>
  <c r="E65" i="1"/>
  <c r="F65" i="1"/>
  <c r="E75" i="1"/>
  <c r="F75" i="1" s="1"/>
  <c r="G75" i="1" s="1"/>
  <c r="E81" i="1"/>
  <c r="F81" i="1" s="1"/>
  <c r="E84" i="1"/>
  <c r="F84" i="1"/>
  <c r="G84" i="1" s="1"/>
  <c r="K84" i="1" s="1"/>
  <c r="E47" i="1"/>
  <c r="F47" i="1"/>
  <c r="G47" i="1" s="1"/>
  <c r="E49" i="1"/>
  <c r="F49" i="1" s="1"/>
  <c r="E50" i="1"/>
  <c r="F50" i="1" s="1"/>
  <c r="G50" i="1" s="1"/>
  <c r="E51" i="1"/>
  <c r="F51" i="1" s="1"/>
  <c r="G51" i="1" s="1"/>
  <c r="E66" i="1"/>
  <c r="F66" i="1"/>
  <c r="U66" i="1" s="1"/>
  <c r="E67" i="1"/>
  <c r="F67" i="1"/>
  <c r="U67" i="1"/>
  <c r="E59" i="1"/>
  <c r="F59" i="1" s="1"/>
  <c r="E60" i="1"/>
  <c r="F60" i="1" s="1"/>
  <c r="G60" i="1" s="1"/>
  <c r="E45" i="1"/>
  <c r="F45" i="1"/>
  <c r="G45" i="1" s="1"/>
  <c r="E46" i="1"/>
  <c r="F46" i="1" s="1"/>
  <c r="G46" i="1" s="1"/>
  <c r="E48" i="1"/>
  <c r="F48" i="1" s="1"/>
  <c r="G48" i="1" s="1"/>
  <c r="E52" i="1"/>
  <c r="F52" i="1" s="1"/>
  <c r="G52" i="1" s="1"/>
  <c r="E53" i="1"/>
  <c r="F53" i="1"/>
  <c r="G53" i="1" s="1"/>
  <c r="J53" i="1" s="1"/>
  <c r="E54" i="1"/>
  <c r="F54" i="1"/>
  <c r="G54" i="1"/>
  <c r="E58" i="1"/>
  <c r="F58" i="1" s="1"/>
  <c r="D9" i="1"/>
  <c r="C9" i="1"/>
  <c r="F16" i="1"/>
  <c r="F17" i="1" s="1"/>
  <c r="P87" i="1"/>
  <c r="P86" i="1"/>
  <c r="P85" i="1"/>
  <c r="P84" i="1"/>
  <c r="P83" i="1"/>
  <c r="P82" i="1"/>
  <c r="P80" i="1"/>
  <c r="P79" i="1"/>
  <c r="P78" i="1"/>
  <c r="P77" i="1"/>
  <c r="P76" i="1"/>
  <c r="P67" i="1"/>
  <c r="P66" i="1"/>
  <c r="P65" i="1"/>
  <c r="G76" i="3"/>
  <c r="C76" i="3" s="1"/>
  <c r="E76" i="3" s="1"/>
  <c r="G75" i="3"/>
  <c r="C75" i="3"/>
  <c r="E75" i="3" s="1"/>
  <c r="G74" i="3"/>
  <c r="C74" i="3" s="1"/>
  <c r="E74" i="3" s="1"/>
  <c r="G73" i="3"/>
  <c r="C73" i="3" s="1"/>
  <c r="E73" i="3" s="1"/>
  <c r="G72" i="3"/>
  <c r="C72" i="3" s="1"/>
  <c r="E72" i="3" s="1"/>
  <c r="G71" i="3"/>
  <c r="C71" i="3"/>
  <c r="E71" i="3" s="1"/>
  <c r="G62" i="3"/>
  <c r="C62" i="3"/>
  <c r="E62" i="3"/>
  <c r="G70" i="3"/>
  <c r="C70" i="3" s="1"/>
  <c r="E70" i="3" s="1"/>
  <c r="G69" i="3"/>
  <c r="C69" i="3" s="1"/>
  <c r="E69" i="3" s="1"/>
  <c r="G68" i="3"/>
  <c r="C68" i="3"/>
  <c r="E68" i="3" s="1"/>
  <c r="G67" i="3"/>
  <c r="C67" i="3" s="1"/>
  <c r="E67" i="3" s="1"/>
  <c r="G66" i="3"/>
  <c r="C66" i="3" s="1"/>
  <c r="E66" i="3" s="1"/>
  <c r="G61" i="3"/>
  <c r="C61" i="3" s="1"/>
  <c r="E61" i="3" s="1"/>
  <c r="G60" i="3"/>
  <c r="C60" i="3"/>
  <c r="G59" i="3"/>
  <c r="C59" i="3"/>
  <c r="E59" i="3"/>
  <c r="G58" i="3"/>
  <c r="C58" i="3" s="1"/>
  <c r="E58" i="3" s="1"/>
  <c r="G57" i="3"/>
  <c r="C57" i="3" s="1"/>
  <c r="E57" i="3" s="1"/>
  <c r="G56" i="3"/>
  <c r="C56" i="3"/>
  <c r="E56" i="3" s="1"/>
  <c r="G55" i="3"/>
  <c r="C55" i="3" s="1"/>
  <c r="E55" i="3" s="1"/>
  <c r="G54" i="3"/>
  <c r="C54" i="3" s="1"/>
  <c r="E54" i="3" s="1"/>
  <c r="G65" i="3"/>
  <c r="C65" i="3" s="1"/>
  <c r="E65" i="3" s="1"/>
  <c r="G64" i="3"/>
  <c r="C64" i="3"/>
  <c r="E64" i="3" s="1"/>
  <c r="G63" i="3"/>
  <c r="C63" i="3"/>
  <c r="E63" i="3"/>
  <c r="G53" i="3"/>
  <c r="C53" i="3" s="1"/>
  <c r="E53" i="3" s="1"/>
  <c r="G52" i="3"/>
  <c r="C52" i="3" s="1"/>
  <c r="E52" i="3" s="1"/>
  <c r="G51" i="3"/>
  <c r="C51" i="3"/>
  <c r="E51" i="3" s="1"/>
  <c r="G50" i="3"/>
  <c r="C50" i="3" s="1"/>
  <c r="E50" i="3" s="1"/>
  <c r="G49" i="3"/>
  <c r="C49" i="3" s="1"/>
  <c r="E49" i="3" s="1"/>
  <c r="G48" i="3"/>
  <c r="C48" i="3" s="1"/>
  <c r="E48" i="3" s="1"/>
  <c r="G47" i="3"/>
  <c r="C47" i="3"/>
  <c r="E47" i="3" s="1"/>
  <c r="G46" i="3"/>
  <c r="C46" i="3"/>
  <c r="E46" i="3"/>
  <c r="G45" i="3"/>
  <c r="C45" i="3" s="1"/>
  <c r="E45" i="3" s="1"/>
  <c r="E56" i="1"/>
  <c r="G44" i="3"/>
  <c r="C44" i="3" s="1"/>
  <c r="E55" i="1"/>
  <c r="G43" i="3"/>
  <c r="C43" i="3" s="1"/>
  <c r="E43" i="3" s="1"/>
  <c r="G42" i="3"/>
  <c r="C42" i="3" s="1"/>
  <c r="E42" i="3" s="1"/>
  <c r="G41" i="3"/>
  <c r="C41" i="3"/>
  <c r="E41" i="3" s="1"/>
  <c r="G40" i="3"/>
  <c r="C40" i="3" s="1"/>
  <c r="E40" i="3" s="1"/>
  <c r="G39" i="3"/>
  <c r="C39" i="3" s="1"/>
  <c r="E39" i="3" s="1"/>
  <c r="G38" i="3"/>
  <c r="C38" i="3" s="1"/>
  <c r="E38" i="3" s="1"/>
  <c r="G37" i="3"/>
  <c r="C37" i="3"/>
  <c r="E37" i="3" s="1"/>
  <c r="G36" i="3"/>
  <c r="C36" i="3"/>
  <c r="E36" i="3"/>
  <c r="G35" i="3"/>
  <c r="C35" i="3" s="1"/>
  <c r="E35" i="3" s="1"/>
  <c r="G34" i="3"/>
  <c r="C34" i="3" s="1"/>
  <c r="E34" i="3" s="1"/>
  <c r="G33" i="3"/>
  <c r="C33" i="3"/>
  <c r="E33" i="3" s="1"/>
  <c r="G32" i="3"/>
  <c r="C32" i="3" s="1"/>
  <c r="E32" i="3" s="1"/>
  <c r="G31" i="3"/>
  <c r="C31" i="3" s="1"/>
  <c r="E31" i="3" s="1"/>
  <c r="G30" i="3"/>
  <c r="C30" i="3" s="1"/>
  <c r="E30" i="3" s="1"/>
  <c r="G29" i="3"/>
  <c r="C29" i="3"/>
  <c r="E29" i="3" s="1"/>
  <c r="G28" i="3"/>
  <c r="C28" i="3"/>
  <c r="E28" i="3"/>
  <c r="G27" i="3"/>
  <c r="C27" i="3" s="1"/>
  <c r="E27" i="3" s="1"/>
  <c r="G26" i="3"/>
  <c r="C26" i="3" s="1"/>
  <c r="E26" i="3" s="1"/>
  <c r="G25" i="3"/>
  <c r="C25" i="3"/>
  <c r="E25" i="3" s="1"/>
  <c r="G24" i="3"/>
  <c r="C24" i="3" s="1"/>
  <c r="E24" i="3" s="1"/>
  <c r="G23" i="3"/>
  <c r="C23" i="3" s="1"/>
  <c r="E23" i="3" s="1"/>
  <c r="G22" i="3"/>
  <c r="C22" i="3" s="1"/>
  <c r="E22" i="3" s="1"/>
  <c r="G21" i="3"/>
  <c r="C21" i="3"/>
  <c r="E21" i="3" s="1"/>
  <c r="G20" i="3"/>
  <c r="C20" i="3"/>
  <c r="E20" i="3"/>
  <c r="G19" i="3"/>
  <c r="C19" i="3" s="1"/>
  <c r="E19" i="3" s="1"/>
  <c r="G18" i="3"/>
  <c r="C18" i="3" s="1"/>
  <c r="E18" i="3" s="1"/>
  <c r="G17" i="3"/>
  <c r="C17" i="3"/>
  <c r="E17" i="3" s="1"/>
  <c r="G16" i="3"/>
  <c r="C16" i="3" s="1"/>
  <c r="E16" i="3" s="1"/>
  <c r="G15" i="3"/>
  <c r="C15" i="3" s="1"/>
  <c r="E15" i="3" s="1"/>
  <c r="G14" i="3"/>
  <c r="C14" i="3" s="1"/>
  <c r="E14" i="3" s="1"/>
  <c r="G13" i="3"/>
  <c r="C13" i="3"/>
  <c r="E13" i="3" s="1"/>
  <c r="G12" i="3"/>
  <c r="C12" i="3"/>
  <c r="E12" i="3"/>
  <c r="G11" i="3"/>
  <c r="C11" i="3" s="1"/>
  <c r="E11" i="3" s="1"/>
  <c r="H76" i="3"/>
  <c r="B76" i="3" s="1"/>
  <c r="D76" i="3"/>
  <c r="A76" i="3"/>
  <c r="H75" i="3"/>
  <c r="B75" i="3" s="1"/>
  <c r="D75" i="3"/>
  <c r="A75" i="3"/>
  <c r="H74" i="3"/>
  <c r="B74" i="3" s="1"/>
  <c r="D74" i="3"/>
  <c r="A74" i="3"/>
  <c r="H73" i="3"/>
  <c r="B73" i="3" s="1"/>
  <c r="D73" i="3"/>
  <c r="A73" i="3"/>
  <c r="H72" i="3"/>
  <c r="B72" i="3" s="1"/>
  <c r="D72" i="3"/>
  <c r="A72" i="3"/>
  <c r="H71" i="3"/>
  <c r="B71" i="3" s="1"/>
  <c r="D71" i="3"/>
  <c r="A71" i="3"/>
  <c r="H62" i="3"/>
  <c r="B62" i="3" s="1"/>
  <c r="D62" i="3"/>
  <c r="A62" i="3"/>
  <c r="H70" i="3"/>
  <c r="B70" i="3" s="1"/>
  <c r="D70" i="3"/>
  <c r="A70" i="3"/>
  <c r="H69" i="3"/>
  <c r="B69" i="3" s="1"/>
  <c r="D69" i="3"/>
  <c r="A69" i="3"/>
  <c r="H68" i="3"/>
  <c r="B68" i="3" s="1"/>
  <c r="D68" i="3"/>
  <c r="A68" i="3"/>
  <c r="H67" i="3"/>
  <c r="B67" i="3" s="1"/>
  <c r="D67" i="3"/>
  <c r="A67" i="3"/>
  <c r="H66" i="3"/>
  <c r="B66" i="3" s="1"/>
  <c r="D66" i="3"/>
  <c r="A66" i="3"/>
  <c r="H61" i="3"/>
  <c r="B61" i="3" s="1"/>
  <c r="D61" i="3"/>
  <c r="A61" i="3"/>
  <c r="H60" i="3"/>
  <c r="B60" i="3" s="1"/>
  <c r="D60" i="3"/>
  <c r="A60" i="3"/>
  <c r="H59" i="3"/>
  <c r="B59" i="3" s="1"/>
  <c r="D59" i="3"/>
  <c r="A59" i="3"/>
  <c r="H58" i="3"/>
  <c r="B58" i="3" s="1"/>
  <c r="D58" i="3"/>
  <c r="A58" i="3"/>
  <c r="H57" i="3"/>
  <c r="B57" i="3" s="1"/>
  <c r="D57" i="3"/>
  <c r="A57" i="3"/>
  <c r="H56" i="3"/>
  <c r="B56" i="3" s="1"/>
  <c r="D56" i="3"/>
  <c r="A56" i="3"/>
  <c r="H55" i="3"/>
  <c r="B55" i="3" s="1"/>
  <c r="D55" i="3"/>
  <c r="A55" i="3"/>
  <c r="H54" i="3"/>
  <c r="B54" i="3" s="1"/>
  <c r="D54" i="3"/>
  <c r="A54" i="3"/>
  <c r="H65" i="3"/>
  <c r="B65" i="3" s="1"/>
  <c r="D65" i="3"/>
  <c r="A65" i="3"/>
  <c r="H64" i="3"/>
  <c r="B64" i="3" s="1"/>
  <c r="D64" i="3"/>
  <c r="A64" i="3"/>
  <c r="H63" i="3"/>
  <c r="B63" i="3" s="1"/>
  <c r="D63" i="3"/>
  <c r="A63" i="3"/>
  <c r="H53" i="3"/>
  <c r="B53" i="3" s="1"/>
  <c r="D53" i="3"/>
  <c r="A53" i="3"/>
  <c r="H52" i="3"/>
  <c r="B52" i="3" s="1"/>
  <c r="D52" i="3"/>
  <c r="A52" i="3"/>
  <c r="H51" i="3"/>
  <c r="B51" i="3" s="1"/>
  <c r="D51" i="3"/>
  <c r="A51" i="3"/>
  <c r="H50" i="3"/>
  <c r="B50" i="3" s="1"/>
  <c r="D50" i="3"/>
  <c r="A50" i="3"/>
  <c r="H49" i="3"/>
  <c r="B49" i="3" s="1"/>
  <c r="D49" i="3"/>
  <c r="A49" i="3"/>
  <c r="H48" i="3"/>
  <c r="B48" i="3" s="1"/>
  <c r="D48" i="3"/>
  <c r="A48" i="3"/>
  <c r="H47" i="3"/>
  <c r="B47" i="3" s="1"/>
  <c r="D47" i="3"/>
  <c r="A47" i="3"/>
  <c r="H46" i="3"/>
  <c r="B46" i="3" s="1"/>
  <c r="D46" i="3"/>
  <c r="A46" i="3"/>
  <c r="H45" i="3"/>
  <c r="B45" i="3" s="1"/>
  <c r="D45" i="3"/>
  <c r="A45" i="3"/>
  <c r="H44" i="3"/>
  <c r="B44" i="3" s="1"/>
  <c r="D44" i="3"/>
  <c r="A44" i="3"/>
  <c r="H43" i="3"/>
  <c r="B43" i="3" s="1"/>
  <c r="D43" i="3"/>
  <c r="A43" i="3"/>
  <c r="H42" i="3"/>
  <c r="B42" i="3" s="1"/>
  <c r="D42" i="3"/>
  <c r="A42" i="3"/>
  <c r="H41" i="3"/>
  <c r="B41" i="3" s="1"/>
  <c r="D41" i="3"/>
  <c r="A41" i="3"/>
  <c r="H40" i="3"/>
  <c r="B40" i="3" s="1"/>
  <c r="D40" i="3"/>
  <c r="A40" i="3"/>
  <c r="H39" i="3"/>
  <c r="B39" i="3" s="1"/>
  <c r="D39" i="3"/>
  <c r="A39" i="3"/>
  <c r="H38" i="3"/>
  <c r="B38" i="3" s="1"/>
  <c r="D38" i="3"/>
  <c r="A38" i="3"/>
  <c r="H37" i="3"/>
  <c r="B37" i="3" s="1"/>
  <c r="D37" i="3"/>
  <c r="A37" i="3"/>
  <c r="H36" i="3"/>
  <c r="B36" i="3" s="1"/>
  <c r="D36" i="3"/>
  <c r="A36" i="3"/>
  <c r="H35" i="3"/>
  <c r="B35" i="3" s="1"/>
  <c r="D35" i="3"/>
  <c r="A35" i="3"/>
  <c r="H34" i="3"/>
  <c r="B34" i="3" s="1"/>
  <c r="D34" i="3"/>
  <c r="A34" i="3"/>
  <c r="H33" i="3"/>
  <c r="B33" i="3" s="1"/>
  <c r="D33" i="3"/>
  <c r="A33" i="3"/>
  <c r="H32" i="3"/>
  <c r="B32" i="3" s="1"/>
  <c r="D32" i="3"/>
  <c r="A32" i="3"/>
  <c r="H31" i="3"/>
  <c r="B31" i="3" s="1"/>
  <c r="D31" i="3"/>
  <c r="A31" i="3"/>
  <c r="H30" i="3"/>
  <c r="B30" i="3" s="1"/>
  <c r="D30" i="3"/>
  <c r="A30" i="3"/>
  <c r="H29" i="3"/>
  <c r="B29" i="3" s="1"/>
  <c r="D29" i="3"/>
  <c r="A29" i="3"/>
  <c r="H28" i="3"/>
  <c r="B28" i="3" s="1"/>
  <c r="D28" i="3"/>
  <c r="A28" i="3"/>
  <c r="H27" i="3"/>
  <c r="B27" i="3" s="1"/>
  <c r="D27" i="3"/>
  <c r="A27" i="3"/>
  <c r="H26" i="3"/>
  <c r="B26" i="3" s="1"/>
  <c r="D26" i="3"/>
  <c r="A26" i="3"/>
  <c r="H25" i="3"/>
  <c r="B25" i="3" s="1"/>
  <c r="D25" i="3"/>
  <c r="A25" i="3"/>
  <c r="H24" i="3"/>
  <c r="B24" i="3" s="1"/>
  <c r="D24" i="3"/>
  <c r="A24" i="3"/>
  <c r="H23" i="3"/>
  <c r="B23" i="3" s="1"/>
  <c r="D23" i="3"/>
  <c r="A23" i="3"/>
  <c r="H22" i="3"/>
  <c r="B22" i="3" s="1"/>
  <c r="D22" i="3"/>
  <c r="A22" i="3"/>
  <c r="H21" i="3"/>
  <c r="B21" i="3" s="1"/>
  <c r="D21" i="3"/>
  <c r="A21" i="3"/>
  <c r="H20" i="3"/>
  <c r="B20" i="3" s="1"/>
  <c r="D20" i="3"/>
  <c r="A20" i="3"/>
  <c r="H19" i="3"/>
  <c r="B19" i="3" s="1"/>
  <c r="D19" i="3"/>
  <c r="A19" i="3"/>
  <c r="H18" i="3"/>
  <c r="B18" i="3" s="1"/>
  <c r="D18" i="3"/>
  <c r="A18" i="3"/>
  <c r="H17" i="3"/>
  <c r="B17" i="3" s="1"/>
  <c r="D17" i="3"/>
  <c r="A17" i="3"/>
  <c r="H16" i="3"/>
  <c r="B16" i="3" s="1"/>
  <c r="D16" i="3"/>
  <c r="A16" i="3"/>
  <c r="H15" i="3"/>
  <c r="B15" i="3" s="1"/>
  <c r="D15" i="3"/>
  <c r="A15" i="3"/>
  <c r="H14" i="3"/>
  <c r="B14" i="3" s="1"/>
  <c r="D14" i="3"/>
  <c r="A14" i="3"/>
  <c r="H13" i="3"/>
  <c r="B13" i="3" s="1"/>
  <c r="D13" i="3"/>
  <c r="A13" i="3"/>
  <c r="H12" i="3"/>
  <c r="B12" i="3" s="1"/>
  <c r="D12" i="3"/>
  <c r="A12" i="3"/>
  <c r="H11" i="3"/>
  <c r="B11" i="3" s="1"/>
  <c r="D11" i="3"/>
  <c r="A11" i="3"/>
  <c r="P81" i="1"/>
  <c r="E144" i="2"/>
  <c r="E16" i="2"/>
  <c r="E15" i="2"/>
  <c r="A13" i="2"/>
  <c r="C13" i="2"/>
  <c r="E21" i="2"/>
  <c r="E22" i="2"/>
  <c r="E23" i="2"/>
  <c r="I23" i="2" s="1"/>
  <c r="J23" i="2" s="1"/>
  <c r="E24" i="2"/>
  <c r="E25" i="2"/>
  <c r="E26" i="2"/>
  <c r="E27" i="2"/>
  <c r="E28" i="2"/>
  <c r="E29" i="2"/>
  <c r="E30" i="2"/>
  <c r="E31" i="2"/>
  <c r="I31" i="2" s="1"/>
  <c r="J31" i="2" s="1"/>
  <c r="E32" i="2"/>
  <c r="E33" i="2"/>
  <c r="E34" i="2"/>
  <c r="E35" i="2"/>
  <c r="E36" i="2"/>
  <c r="E37" i="2"/>
  <c r="E38" i="2"/>
  <c r="E39" i="2"/>
  <c r="I39" i="2" s="1"/>
  <c r="J39" i="2" s="1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I78" i="2" s="1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F16" i="2"/>
  <c r="F15" i="2"/>
  <c r="F13" i="2" s="1"/>
  <c r="D21" i="2"/>
  <c r="F21" i="2"/>
  <c r="D22" i="2"/>
  <c r="F22" i="2" s="1"/>
  <c r="D23" i="2"/>
  <c r="G23" i="2" s="1"/>
  <c r="F23" i="2"/>
  <c r="H23" i="2" s="1"/>
  <c r="D24" i="2"/>
  <c r="F24" i="2" s="1"/>
  <c r="D25" i="2"/>
  <c r="F25" i="2" s="1"/>
  <c r="D26" i="2"/>
  <c r="F26" i="2" s="1"/>
  <c r="D27" i="2"/>
  <c r="I27" i="2" s="1"/>
  <c r="J27" i="2" s="1"/>
  <c r="F27" i="2"/>
  <c r="H27" i="2" s="1"/>
  <c r="D28" i="2"/>
  <c r="F28" i="2" s="1"/>
  <c r="D29" i="2"/>
  <c r="F29" i="2" s="1"/>
  <c r="H29" i="2"/>
  <c r="D30" i="2"/>
  <c r="F30" i="2" s="1"/>
  <c r="D31" i="2"/>
  <c r="F31" i="2"/>
  <c r="D32" i="2"/>
  <c r="F32" i="2" s="1"/>
  <c r="D33" i="2"/>
  <c r="I33" i="2" s="1"/>
  <c r="J33" i="2" s="1"/>
  <c r="F33" i="2"/>
  <c r="H33" i="2" s="1"/>
  <c r="D34" i="2"/>
  <c r="F34" i="2"/>
  <c r="D35" i="2"/>
  <c r="F35" i="2"/>
  <c r="H35" i="2" s="1"/>
  <c r="D36" i="2"/>
  <c r="D37" i="2"/>
  <c r="F37" i="2" s="1"/>
  <c r="D38" i="2"/>
  <c r="F38" i="2"/>
  <c r="G38" i="2" s="1"/>
  <c r="D39" i="2"/>
  <c r="F39" i="2" s="1"/>
  <c r="D40" i="2"/>
  <c r="F40" i="2" s="1"/>
  <c r="D41" i="2"/>
  <c r="F41" i="2" s="1"/>
  <c r="D42" i="2"/>
  <c r="F42" i="2" s="1"/>
  <c r="D43" i="2"/>
  <c r="F43" i="2"/>
  <c r="H43" i="2" s="1"/>
  <c r="D44" i="2"/>
  <c r="F44" i="2" s="1"/>
  <c r="H44" i="2" s="1"/>
  <c r="D45" i="2"/>
  <c r="F45" i="2"/>
  <c r="D46" i="2"/>
  <c r="F46" i="2" s="1"/>
  <c r="H46" i="2" s="1"/>
  <c r="D47" i="2"/>
  <c r="D48" i="2"/>
  <c r="F48" i="2" s="1"/>
  <c r="D49" i="2"/>
  <c r="F49" i="2"/>
  <c r="G49" i="2" s="1"/>
  <c r="D50" i="2"/>
  <c r="F50" i="2" s="1"/>
  <c r="H50" i="2" s="1"/>
  <c r="D51" i="2"/>
  <c r="F51" i="2" s="1"/>
  <c r="H51" i="2"/>
  <c r="D52" i="2"/>
  <c r="F52" i="2" s="1"/>
  <c r="D53" i="2"/>
  <c r="F53" i="2" s="1"/>
  <c r="D54" i="2"/>
  <c r="F54" i="2"/>
  <c r="D55" i="2"/>
  <c r="F55" i="2"/>
  <c r="D56" i="2"/>
  <c r="F56" i="2"/>
  <c r="H56" i="2" s="1"/>
  <c r="D57" i="2"/>
  <c r="F57" i="2" s="1"/>
  <c r="D58" i="2"/>
  <c r="F58" i="2"/>
  <c r="D59" i="2"/>
  <c r="F59" i="2"/>
  <c r="H59" i="2" s="1"/>
  <c r="D60" i="2"/>
  <c r="F60" i="2"/>
  <c r="H60" i="2" s="1"/>
  <c r="D61" i="2"/>
  <c r="F61" i="2" s="1"/>
  <c r="D62" i="2"/>
  <c r="F62" i="2"/>
  <c r="D63" i="2"/>
  <c r="F63" i="2"/>
  <c r="D64" i="2"/>
  <c r="G64" i="2" s="1"/>
  <c r="F64" i="2"/>
  <c r="H64" i="2" s="1"/>
  <c r="D65" i="2"/>
  <c r="F65" i="2" s="1"/>
  <c r="D66" i="2"/>
  <c r="F66" i="2" s="1"/>
  <c r="D67" i="2"/>
  <c r="F67" i="2" s="1"/>
  <c r="D68" i="2"/>
  <c r="F68" i="2"/>
  <c r="H68" i="2" s="1"/>
  <c r="D69" i="2"/>
  <c r="G69" i="2" s="1"/>
  <c r="F69" i="2"/>
  <c r="D70" i="2"/>
  <c r="F70" i="2"/>
  <c r="D71" i="2"/>
  <c r="F71" i="2" s="1"/>
  <c r="D72" i="2"/>
  <c r="F72" i="2" s="1"/>
  <c r="H72" i="2"/>
  <c r="D73" i="2"/>
  <c r="F73" i="2"/>
  <c r="D74" i="2"/>
  <c r="F74" i="2" s="1"/>
  <c r="D75" i="2"/>
  <c r="F75" i="2"/>
  <c r="H75" i="2" s="1"/>
  <c r="D76" i="2"/>
  <c r="F76" i="2" s="1"/>
  <c r="D77" i="2"/>
  <c r="F77" i="2"/>
  <c r="G77" i="2"/>
  <c r="D78" i="2"/>
  <c r="F78" i="2"/>
  <c r="D79" i="2"/>
  <c r="F79" i="2"/>
  <c r="D80" i="2"/>
  <c r="F80" i="2"/>
  <c r="H80" i="2"/>
  <c r="D81" i="2"/>
  <c r="D82" i="2"/>
  <c r="F82" i="2" s="1"/>
  <c r="D83" i="2"/>
  <c r="F83" i="2" s="1"/>
  <c r="H83" i="2"/>
  <c r="D84" i="2"/>
  <c r="F84" i="2" s="1"/>
  <c r="D85" i="2"/>
  <c r="F85" i="2"/>
  <c r="H85" i="2" s="1"/>
  <c r="D86" i="2"/>
  <c r="F86" i="2" s="1"/>
  <c r="D87" i="2"/>
  <c r="F87" i="2" s="1"/>
  <c r="D88" i="2"/>
  <c r="F88" i="2" s="1"/>
  <c r="H88" i="2"/>
  <c r="D89" i="2"/>
  <c r="F89" i="2"/>
  <c r="H89" i="2" s="1"/>
  <c r="D90" i="2"/>
  <c r="F90" i="2"/>
  <c r="H90" i="2" s="1"/>
  <c r="D91" i="2"/>
  <c r="F91" i="2" s="1"/>
  <c r="D92" i="2"/>
  <c r="F92" i="2" s="1"/>
  <c r="D93" i="2"/>
  <c r="F93" i="2" s="1"/>
  <c r="D94" i="2"/>
  <c r="F94" i="2"/>
  <c r="D95" i="2"/>
  <c r="F95" i="2"/>
  <c r="D96" i="2"/>
  <c r="F96" i="2"/>
  <c r="H96" i="2" s="1"/>
  <c r="D97" i="2"/>
  <c r="F97" i="2" s="1"/>
  <c r="D98" i="2"/>
  <c r="F98" i="2" s="1"/>
  <c r="D99" i="2"/>
  <c r="F99" i="2" s="1"/>
  <c r="H99" i="2"/>
  <c r="D100" i="2"/>
  <c r="F100" i="2"/>
  <c r="D101" i="2"/>
  <c r="F101" i="2" s="1"/>
  <c r="H101" i="2" s="1"/>
  <c r="D102" i="2"/>
  <c r="F102" i="2" s="1"/>
  <c r="D103" i="2"/>
  <c r="F103" i="2" s="1"/>
  <c r="D104" i="2"/>
  <c r="G104" i="2" s="1"/>
  <c r="F104" i="2"/>
  <c r="H104" i="2" s="1"/>
  <c r="D105" i="2"/>
  <c r="F105" i="2"/>
  <c r="H105" i="2" s="1"/>
  <c r="D106" i="2"/>
  <c r="F106" i="2"/>
  <c r="D107" i="2"/>
  <c r="F107" i="2"/>
  <c r="H107" i="2"/>
  <c r="D108" i="2"/>
  <c r="F108" i="2" s="1"/>
  <c r="D109" i="2"/>
  <c r="F109" i="2" s="1"/>
  <c r="G109" i="2"/>
  <c r="D110" i="2"/>
  <c r="F110" i="2"/>
  <c r="D111" i="2"/>
  <c r="G111" i="2" s="1"/>
  <c r="F111" i="2"/>
  <c r="D112" i="2"/>
  <c r="F112" i="2"/>
  <c r="H112" i="2" s="1"/>
  <c r="D113" i="2"/>
  <c r="F113" i="2" s="1"/>
  <c r="D114" i="2"/>
  <c r="F114" i="2" s="1"/>
  <c r="D115" i="2"/>
  <c r="F115" i="2" s="1"/>
  <c r="H115" i="2"/>
  <c r="D116" i="2"/>
  <c r="F116" i="2"/>
  <c r="D117" i="2"/>
  <c r="F117" i="2"/>
  <c r="G117" i="2"/>
  <c r="D118" i="2"/>
  <c r="F118" i="2" s="1"/>
  <c r="D119" i="2"/>
  <c r="F119" i="2" s="1"/>
  <c r="D120" i="2"/>
  <c r="F120" i="2" s="1"/>
  <c r="H120" i="2"/>
  <c r="D121" i="2"/>
  <c r="D122" i="2"/>
  <c r="F122" i="2"/>
  <c r="D123" i="2"/>
  <c r="F123" i="2" s="1"/>
  <c r="D124" i="2"/>
  <c r="F124" i="2"/>
  <c r="H124" i="2" s="1"/>
  <c r="D125" i="2"/>
  <c r="F125" i="2" s="1"/>
  <c r="H125" i="2" s="1"/>
  <c r="D126" i="2"/>
  <c r="F126" i="2" s="1"/>
  <c r="D127" i="2"/>
  <c r="F127" i="2"/>
  <c r="G127" i="2" s="1"/>
  <c r="D128" i="2"/>
  <c r="D129" i="2"/>
  <c r="F129" i="2" s="1"/>
  <c r="D130" i="2"/>
  <c r="F130" i="2"/>
  <c r="D131" i="2"/>
  <c r="I131" i="2" s="1"/>
  <c r="J131" i="2" s="1"/>
  <c r="F131" i="2"/>
  <c r="D132" i="2"/>
  <c r="F132" i="2"/>
  <c r="H132" i="2" s="1"/>
  <c r="D133" i="2"/>
  <c r="F133" i="2" s="1"/>
  <c r="D134" i="2"/>
  <c r="F134" i="2"/>
  <c r="D135" i="2"/>
  <c r="F135" i="2" s="1"/>
  <c r="D136" i="2"/>
  <c r="D137" i="2"/>
  <c r="F137" i="2"/>
  <c r="G137" i="2" s="1"/>
  <c r="D138" i="2"/>
  <c r="D139" i="2"/>
  <c r="F139" i="2"/>
  <c r="H139" i="2" s="1"/>
  <c r="D140" i="2"/>
  <c r="F140" i="2"/>
  <c r="G140" i="2" s="1"/>
  <c r="D141" i="2"/>
  <c r="G141" i="2" s="1"/>
  <c r="F141" i="2"/>
  <c r="H141" i="2" s="1"/>
  <c r="D142" i="2"/>
  <c r="F142" i="2"/>
  <c r="D143" i="2"/>
  <c r="F143" i="2" s="1"/>
  <c r="G143" i="2" s="1"/>
  <c r="D144" i="2"/>
  <c r="F144" i="2"/>
  <c r="H144" i="2"/>
  <c r="H16" i="2"/>
  <c r="H15" i="2" s="1"/>
  <c r="H25" i="2"/>
  <c r="H26" i="2"/>
  <c r="H28" i="2"/>
  <c r="H34" i="2"/>
  <c r="H37" i="2"/>
  <c r="H40" i="2"/>
  <c r="H48" i="2"/>
  <c r="H49" i="2"/>
  <c r="H55" i="2"/>
  <c r="H61" i="2"/>
  <c r="H63" i="2"/>
  <c r="H65" i="2"/>
  <c r="H69" i="2"/>
  <c r="H71" i="2"/>
  <c r="H76" i="2"/>
  <c r="H77" i="2"/>
  <c r="H79" i="2"/>
  <c r="H92" i="2"/>
  <c r="H93" i="2"/>
  <c r="H95" i="2"/>
  <c r="H100" i="2"/>
  <c r="H103" i="2"/>
  <c r="H108" i="2"/>
  <c r="H109" i="2"/>
  <c r="H111" i="2"/>
  <c r="H113" i="2"/>
  <c r="H117" i="2"/>
  <c r="H119" i="2"/>
  <c r="H127" i="2"/>
  <c r="H140" i="2"/>
  <c r="H143" i="2"/>
  <c r="G16" i="2"/>
  <c r="G15" i="2" s="1"/>
  <c r="G25" i="2"/>
  <c r="G26" i="2"/>
  <c r="G28" i="2"/>
  <c r="G34" i="2"/>
  <c r="G40" i="2"/>
  <c r="G51" i="2"/>
  <c r="G55" i="2"/>
  <c r="G59" i="2"/>
  <c r="G63" i="2"/>
  <c r="G65" i="2"/>
  <c r="G68" i="2"/>
  <c r="G71" i="2"/>
  <c r="G72" i="2"/>
  <c r="G75" i="2"/>
  <c r="G76" i="2"/>
  <c r="G79" i="2"/>
  <c r="G80" i="2"/>
  <c r="G83" i="2"/>
  <c r="G88" i="2"/>
  <c r="G89" i="2"/>
  <c r="G92" i="2"/>
  <c r="G95" i="2"/>
  <c r="G96" i="2"/>
  <c r="G100" i="2"/>
  <c r="G105" i="2"/>
  <c r="G107" i="2"/>
  <c r="G108" i="2"/>
  <c r="G112" i="2"/>
  <c r="G113" i="2"/>
  <c r="G115" i="2"/>
  <c r="G119" i="2"/>
  <c r="G120" i="2"/>
  <c r="G132" i="2"/>
  <c r="G139" i="2"/>
  <c r="G144" i="2"/>
  <c r="I16" i="2"/>
  <c r="I15" i="2" s="1"/>
  <c r="I21" i="2"/>
  <c r="I24" i="2"/>
  <c r="J24" i="2" s="1"/>
  <c r="I25" i="2"/>
  <c r="J25" i="2"/>
  <c r="I26" i="2"/>
  <c r="J26" i="2" s="1"/>
  <c r="I28" i="2"/>
  <c r="J28" i="2" s="1"/>
  <c r="I32" i="2"/>
  <c r="J32" i="2" s="1"/>
  <c r="I34" i="2"/>
  <c r="J34" i="2" s="1"/>
  <c r="I35" i="2"/>
  <c r="J35" i="2" s="1"/>
  <c r="I37" i="2"/>
  <c r="J37" i="2" s="1"/>
  <c r="I40" i="2"/>
  <c r="I41" i="2"/>
  <c r="J41" i="2" s="1"/>
  <c r="I42" i="2"/>
  <c r="I43" i="2"/>
  <c r="J43" i="2" s="1"/>
  <c r="I44" i="2"/>
  <c r="J44" i="2" s="1"/>
  <c r="I45" i="2"/>
  <c r="J45" i="2" s="1"/>
  <c r="I48" i="2"/>
  <c r="J48" i="2" s="1"/>
  <c r="I49" i="2"/>
  <c r="J49" i="2" s="1"/>
  <c r="I51" i="2"/>
  <c r="I52" i="2"/>
  <c r="J52" i="2" s="1"/>
  <c r="I53" i="2"/>
  <c r="I55" i="2"/>
  <c r="I56" i="2"/>
  <c r="I57" i="2"/>
  <c r="J57" i="2" s="1"/>
  <c r="I58" i="2"/>
  <c r="J58" i="2"/>
  <c r="I59" i="2"/>
  <c r="J59" i="2" s="1"/>
  <c r="I60" i="2"/>
  <c r="J60" i="2" s="1"/>
  <c r="I61" i="2"/>
  <c r="I63" i="2"/>
  <c r="J63" i="2" s="1"/>
  <c r="I65" i="2"/>
  <c r="J65" i="2"/>
  <c r="I66" i="2"/>
  <c r="J66" i="2" s="1"/>
  <c r="I67" i="2"/>
  <c r="I68" i="2"/>
  <c r="J68" i="2"/>
  <c r="I69" i="2"/>
  <c r="I71" i="2"/>
  <c r="I72" i="2"/>
  <c r="J72" i="2" s="1"/>
  <c r="I73" i="2"/>
  <c r="J73" i="2" s="1"/>
  <c r="I74" i="2"/>
  <c r="I75" i="2"/>
  <c r="I76" i="2"/>
  <c r="J76" i="2" s="1"/>
  <c r="I77" i="2"/>
  <c r="I79" i="2"/>
  <c r="J79" i="2" s="1"/>
  <c r="I80" i="2"/>
  <c r="J80" i="2" s="1"/>
  <c r="I82" i="2"/>
  <c r="I83" i="2"/>
  <c r="I84" i="2"/>
  <c r="J84" i="2"/>
  <c r="I85" i="2"/>
  <c r="J85" i="2" s="1"/>
  <c r="I88" i="2"/>
  <c r="I89" i="2"/>
  <c r="J89" i="2" s="1"/>
  <c r="I90" i="2"/>
  <c r="J90" i="2"/>
  <c r="I91" i="2"/>
  <c r="J91" i="2" s="1"/>
  <c r="I92" i="2"/>
  <c r="J92" i="2" s="1"/>
  <c r="I93" i="2"/>
  <c r="J93" i="2" s="1"/>
  <c r="I95" i="2"/>
  <c r="I96" i="2"/>
  <c r="J96" i="2" s="1"/>
  <c r="I97" i="2"/>
  <c r="J97" i="2"/>
  <c r="I98" i="2"/>
  <c r="I100" i="2"/>
  <c r="J100" i="2" s="1"/>
  <c r="I101" i="2"/>
  <c r="I103" i="2"/>
  <c r="J103" i="2" s="1"/>
  <c r="I104" i="2"/>
  <c r="J104" i="2" s="1"/>
  <c r="I105" i="2"/>
  <c r="J105" i="2" s="1"/>
  <c r="I106" i="2"/>
  <c r="I107" i="2"/>
  <c r="J107" i="2" s="1"/>
  <c r="I109" i="2"/>
  <c r="J109" i="2" s="1"/>
  <c r="I111" i="2"/>
  <c r="I112" i="2"/>
  <c r="I113" i="2"/>
  <c r="J113" i="2" s="1"/>
  <c r="I114" i="2"/>
  <c r="J114" i="2"/>
  <c r="I115" i="2"/>
  <c r="J115" i="2" s="1"/>
  <c r="I116" i="2"/>
  <c r="J116" i="2" s="1"/>
  <c r="I117" i="2"/>
  <c r="I119" i="2"/>
  <c r="J119" i="2" s="1"/>
  <c r="I120" i="2"/>
  <c r="I122" i="2"/>
  <c r="J122" i="2" s="1"/>
  <c r="I123" i="2"/>
  <c r="I127" i="2"/>
  <c r="J127" i="2" s="1"/>
  <c r="I128" i="2"/>
  <c r="J128" i="2" s="1"/>
  <c r="I129" i="2"/>
  <c r="J129" i="2" s="1"/>
  <c r="I130" i="2"/>
  <c r="I132" i="2"/>
  <c r="J132" i="2"/>
  <c r="I133" i="2"/>
  <c r="J133" i="2" s="1"/>
  <c r="I135" i="2"/>
  <c r="I136" i="2"/>
  <c r="I137" i="2"/>
  <c r="J137" i="2" s="1"/>
  <c r="I139" i="2"/>
  <c r="J139" i="2" s="1"/>
  <c r="I140" i="2"/>
  <c r="J140" i="2"/>
  <c r="I141" i="2"/>
  <c r="J141" i="2" s="1"/>
  <c r="I143" i="2"/>
  <c r="I144" i="2"/>
  <c r="D16" i="2"/>
  <c r="D15" i="2"/>
  <c r="D13" i="2"/>
  <c r="J16" i="2"/>
  <c r="J15" i="2" s="1"/>
  <c r="J21" i="2"/>
  <c r="J40" i="2"/>
  <c r="J42" i="2"/>
  <c r="J51" i="2"/>
  <c r="J53" i="2"/>
  <c r="J55" i="2"/>
  <c r="J56" i="2"/>
  <c r="J61" i="2"/>
  <c r="J67" i="2"/>
  <c r="J69" i="2"/>
  <c r="J71" i="2"/>
  <c r="J74" i="2"/>
  <c r="J75" i="2"/>
  <c r="J77" i="2"/>
  <c r="J78" i="2"/>
  <c r="J82" i="2"/>
  <c r="J83" i="2"/>
  <c r="J88" i="2"/>
  <c r="J95" i="2"/>
  <c r="J98" i="2"/>
  <c r="J101" i="2"/>
  <c r="J106" i="2"/>
  <c r="J111" i="2"/>
  <c r="J112" i="2"/>
  <c r="J117" i="2"/>
  <c r="J120" i="2"/>
  <c r="J123" i="2"/>
  <c r="J130" i="2"/>
  <c r="J135" i="2"/>
  <c r="J136" i="2"/>
  <c r="J143" i="2"/>
  <c r="J144" i="2"/>
  <c r="D17" i="2"/>
  <c r="O16" i="2"/>
  <c r="O15" i="2" s="1"/>
  <c r="N16" i="2"/>
  <c r="N15" i="2" s="1"/>
  <c r="M16" i="2"/>
  <c r="M15" i="2"/>
  <c r="M13" i="2" s="1"/>
  <c r="M12" i="2"/>
  <c r="L16" i="2"/>
  <c r="L15" i="2" s="1"/>
  <c r="L12" i="2" s="1"/>
  <c r="K16" i="2"/>
  <c r="K15" i="2" s="1"/>
  <c r="G6" i="2"/>
  <c r="G7" i="2"/>
  <c r="G5" i="2"/>
  <c r="G4" i="2"/>
  <c r="P59" i="1"/>
  <c r="K60" i="1"/>
  <c r="O60" i="1"/>
  <c r="Q60" i="1"/>
  <c r="P60" i="1"/>
  <c r="J75" i="1"/>
  <c r="O75" i="1"/>
  <c r="Q75" i="1" s="1"/>
  <c r="P75" i="1"/>
  <c r="O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21" i="1"/>
  <c r="Q21" i="1" s="1"/>
  <c r="C17" i="1"/>
  <c r="O68" i="1"/>
  <c r="P68" i="1"/>
  <c r="J69" i="1"/>
  <c r="O69" i="1"/>
  <c r="Q69" i="1" s="1"/>
  <c r="P69" i="1"/>
  <c r="J70" i="1"/>
  <c r="O70" i="1"/>
  <c r="Q70" i="1" s="1"/>
  <c r="P70" i="1"/>
  <c r="J71" i="1"/>
  <c r="O71" i="1"/>
  <c r="Q71" i="1" s="1"/>
  <c r="P71" i="1"/>
  <c r="J72" i="1"/>
  <c r="O72" i="1"/>
  <c r="Q72" i="1" s="1"/>
  <c r="P72" i="1"/>
  <c r="J73" i="1"/>
  <c r="O73" i="1"/>
  <c r="Q73" i="1" s="1"/>
  <c r="P73" i="1"/>
  <c r="J74" i="1"/>
  <c r="O74" i="1"/>
  <c r="Q74" i="1" s="1"/>
  <c r="P74" i="1"/>
  <c r="O31" i="1"/>
  <c r="Q31" i="1" s="1"/>
  <c r="H31" i="1"/>
  <c r="H22" i="1"/>
  <c r="H24" i="1"/>
  <c r="H25" i="1"/>
  <c r="H26" i="1"/>
  <c r="H27" i="1"/>
  <c r="H29" i="1"/>
  <c r="H30" i="1"/>
  <c r="H32" i="1"/>
  <c r="H33" i="1"/>
  <c r="H35" i="1"/>
  <c r="H36" i="1"/>
  <c r="H37" i="1"/>
  <c r="H38" i="1"/>
  <c r="H39" i="1"/>
  <c r="H41" i="1"/>
  <c r="H42" i="1"/>
  <c r="H43" i="1"/>
  <c r="H44" i="1"/>
  <c r="K61" i="1"/>
  <c r="O61" i="1"/>
  <c r="Q61" i="1" s="1"/>
  <c r="P61" i="1"/>
  <c r="K64" i="1"/>
  <c r="O64" i="1"/>
  <c r="Q64" i="1" s="1"/>
  <c r="P64" i="1"/>
  <c r="O22" i="1"/>
  <c r="Q22" i="1" s="1"/>
  <c r="O23" i="1"/>
  <c r="O24" i="1"/>
  <c r="Q24" i="1" s="1"/>
  <c r="O25" i="1"/>
  <c r="Q25" i="1"/>
  <c r="O26" i="1"/>
  <c r="Q26" i="1" s="1"/>
  <c r="O27" i="1"/>
  <c r="Q27" i="1" s="1"/>
  <c r="O29" i="1"/>
  <c r="Q29" i="1"/>
  <c r="O30" i="1"/>
  <c r="Q30" i="1" s="1"/>
  <c r="O32" i="1"/>
  <c r="Q32" i="1"/>
  <c r="O33" i="1"/>
  <c r="Q33" i="1" s="1"/>
  <c r="O35" i="1"/>
  <c r="Q35" i="1" s="1"/>
  <c r="O36" i="1"/>
  <c r="Q36" i="1"/>
  <c r="O37" i="1"/>
  <c r="Q37" i="1" s="1"/>
  <c r="O38" i="1"/>
  <c r="Q38" i="1" s="1"/>
  <c r="O39" i="1"/>
  <c r="Q39" i="1" s="1"/>
  <c r="O40" i="1"/>
  <c r="O41" i="1"/>
  <c r="Q41" i="1" s="1"/>
  <c r="O42" i="1"/>
  <c r="Q42" i="1"/>
  <c r="O43" i="1"/>
  <c r="Q43" i="1" s="1"/>
  <c r="O44" i="1"/>
  <c r="Q44" i="1" s="1"/>
  <c r="O45" i="1"/>
  <c r="Q45" i="1" s="1"/>
  <c r="O46" i="1"/>
  <c r="Q46" i="1" s="1"/>
  <c r="O47" i="1"/>
  <c r="Q47" i="1" s="1"/>
  <c r="O48" i="1"/>
  <c r="Q48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Q56" i="1" s="1"/>
  <c r="O58" i="1"/>
  <c r="O62" i="1"/>
  <c r="Q62" i="1" s="1"/>
  <c r="O63" i="1"/>
  <c r="Q63" i="1" s="1"/>
  <c r="J54" i="1"/>
  <c r="I52" i="1"/>
  <c r="I51" i="1"/>
  <c r="I50" i="1"/>
  <c r="I48" i="1"/>
  <c r="I47" i="1"/>
  <c r="I46" i="1"/>
  <c r="I45" i="1"/>
  <c r="P21" i="1"/>
  <c r="P22" i="1"/>
  <c r="P23" i="1"/>
  <c r="P24" i="1"/>
  <c r="P25" i="1"/>
  <c r="P26" i="1"/>
  <c r="P27" i="1"/>
  <c r="P28" i="1"/>
  <c r="P29" i="1"/>
  <c r="P30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J63" i="1"/>
  <c r="P63" i="1"/>
  <c r="K62" i="1"/>
  <c r="P62" i="1"/>
  <c r="P58" i="1"/>
  <c r="P31" i="1"/>
  <c r="J55" i="1"/>
  <c r="P55" i="1"/>
  <c r="J56" i="1"/>
  <c r="P56" i="1"/>
  <c r="P57" i="1"/>
  <c r="O13" i="2"/>
  <c r="O12" i="2"/>
  <c r="G12" i="2"/>
  <c r="G13" i="2"/>
  <c r="H94" i="2"/>
  <c r="G94" i="2"/>
  <c r="H62" i="2"/>
  <c r="G62" i="2"/>
  <c r="H31" i="2"/>
  <c r="G31" i="2"/>
  <c r="H130" i="2"/>
  <c r="G130" i="2"/>
  <c r="H98" i="2"/>
  <c r="G98" i="2"/>
  <c r="H66" i="2"/>
  <c r="G66" i="2"/>
  <c r="D12" i="2"/>
  <c r="H106" i="2"/>
  <c r="G106" i="2"/>
  <c r="L13" i="2"/>
  <c r="H142" i="2"/>
  <c r="G142" i="2"/>
  <c r="H110" i="2"/>
  <c r="G110" i="2"/>
  <c r="H78" i="2"/>
  <c r="G78" i="2"/>
  <c r="H45" i="2"/>
  <c r="G45" i="2"/>
  <c r="H39" i="2"/>
  <c r="G39" i="2"/>
  <c r="G27" i="2"/>
  <c r="H118" i="2"/>
  <c r="G118" i="2"/>
  <c r="H86" i="2"/>
  <c r="G86" i="2"/>
  <c r="H54" i="2"/>
  <c r="G54" i="2"/>
  <c r="H122" i="2"/>
  <c r="G122" i="2"/>
  <c r="H58" i="2"/>
  <c r="G58" i="2"/>
  <c r="H102" i="2"/>
  <c r="G102" i="2"/>
  <c r="H70" i="2"/>
  <c r="G70" i="2"/>
  <c r="H41" i="2"/>
  <c r="G41" i="2"/>
  <c r="H82" i="2"/>
  <c r="G82" i="2"/>
  <c r="H21" i="2"/>
  <c r="G21" i="2"/>
  <c r="G65" i="1"/>
  <c r="O65" i="1"/>
  <c r="Q65" i="1" s="1"/>
  <c r="G21" i="1"/>
  <c r="F12" i="2"/>
  <c r="E13" i="2"/>
  <c r="E12" i="2"/>
  <c r="O67" i="1"/>
  <c r="Q67" i="1" s="1"/>
  <c r="O77" i="1"/>
  <c r="Q77" i="1" s="1"/>
  <c r="O79" i="1"/>
  <c r="Q79" i="1" s="1"/>
  <c r="O82" i="1"/>
  <c r="Q82" i="1"/>
  <c r="O84" i="1"/>
  <c r="Q84" i="1" s="1"/>
  <c r="W41" i="1"/>
  <c r="O78" i="1"/>
  <c r="Q78" i="1"/>
  <c r="O83" i="1"/>
  <c r="Q83" i="1" s="1"/>
  <c r="O85" i="1"/>
  <c r="Q85" i="1" s="1"/>
  <c r="O87" i="1"/>
  <c r="Q87" i="1"/>
  <c r="H21" i="1"/>
  <c r="K65" i="1"/>
  <c r="E18" i="2"/>
  <c r="D18" i="2"/>
  <c r="H32" i="2" l="1"/>
  <c r="G32" i="2"/>
  <c r="H42" i="2"/>
  <c r="G42" i="2"/>
  <c r="H30" i="2"/>
  <c r="G30" i="2"/>
  <c r="H38" i="2"/>
  <c r="G33" i="2"/>
  <c r="G29" i="2"/>
  <c r="G50" i="2"/>
  <c r="I50" i="2"/>
  <c r="J50" i="2" s="1"/>
  <c r="I29" i="2"/>
  <c r="J29" i="2" s="1"/>
  <c r="G44" i="2"/>
  <c r="G43" i="2"/>
  <c r="O66" i="1"/>
  <c r="O90" i="1"/>
  <c r="Q90" i="1" s="1"/>
  <c r="O89" i="1"/>
  <c r="Q89" i="1" s="1"/>
  <c r="O88" i="1"/>
  <c r="Q88" i="1" s="1"/>
  <c r="I126" i="2"/>
  <c r="J126" i="2" s="1"/>
  <c r="I94" i="2"/>
  <c r="J94" i="2" s="1"/>
  <c r="I62" i="2"/>
  <c r="J62" i="2" s="1"/>
  <c r="I38" i="2"/>
  <c r="J38" i="2" s="1"/>
  <c r="I110" i="2"/>
  <c r="J110" i="2" s="1"/>
  <c r="I118" i="2"/>
  <c r="J118" i="2" s="1"/>
  <c r="I46" i="2"/>
  <c r="J46" i="2" s="1"/>
  <c r="I134" i="2"/>
  <c r="J134" i="2" s="1"/>
  <c r="I102" i="2"/>
  <c r="J102" i="2" s="1"/>
  <c r="I70" i="2"/>
  <c r="J70" i="2" s="1"/>
  <c r="I22" i="2"/>
  <c r="J22" i="2" s="1"/>
  <c r="F138" i="2"/>
  <c r="H138" i="2" s="1"/>
  <c r="I138" i="2"/>
  <c r="J138" i="2" s="1"/>
  <c r="G73" i="2"/>
  <c r="H73" i="2"/>
  <c r="I142" i="2"/>
  <c r="J142" i="2" s="1"/>
  <c r="I86" i="2"/>
  <c r="J86" i="2" s="1"/>
  <c r="I54" i="2"/>
  <c r="J54" i="2" s="1"/>
  <c r="I30" i="2"/>
  <c r="J30" i="2" s="1"/>
  <c r="G59" i="1"/>
  <c r="K59" i="1" s="1"/>
  <c r="O59" i="1"/>
  <c r="J68" i="1"/>
  <c r="Q68" i="1"/>
  <c r="G86" i="1"/>
  <c r="I86" i="1" s="1"/>
  <c r="O86" i="1"/>
  <c r="Q86" i="1" s="1"/>
  <c r="G76" i="1"/>
  <c r="O76" i="1"/>
  <c r="G34" i="1"/>
  <c r="H34" i="1" s="1"/>
  <c r="O34" i="1"/>
  <c r="H23" i="1"/>
  <c r="Q23" i="1"/>
  <c r="G49" i="1"/>
  <c r="I49" i="1" s="1"/>
  <c r="O49" i="1"/>
  <c r="Q49" i="1" s="1"/>
  <c r="G57" i="1"/>
  <c r="J57" i="1" s="1"/>
  <c r="O57" i="1"/>
  <c r="Q57" i="1" s="1"/>
  <c r="G80" i="1"/>
  <c r="I80" i="1" s="1"/>
  <c r="O80" i="1"/>
  <c r="Q80" i="1" s="1"/>
  <c r="H40" i="1"/>
  <c r="Q40" i="1"/>
  <c r="G28" i="1"/>
  <c r="H28" i="1" s="1"/>
  <c r="D16" i="1"/>
  <c r="D19" i="1" s="1"/>
  <c r="O28" i="1"/>
  <c r="D15" i="1"/>
  <c r="C19" i="1" s="1"/>
  <c r="H13" i="2"/>
  <c r="H12" i="2"/>
  <c r="G136" i="2"/>
  <c r="H67" i="2"/>
  <c r="G67" i="2"/>
  <c r="H52" i="2"/>
  <c r="G52" i="2"/>
  <c r="F47" i="2"/>
  <c r="H47" i="2" s="1"/>
  <c r="I47" i="2"/>
  <c r="J47" i="2" s="1"/>
  <c r="G90" i="2"/>
  <c r="N13" i="2"/>
  <c r="N12" i="2"/>
  <c r="I12" i="2"/>
  <c r="I13" i="2"/>
  <c r="G57" i="2"/>
  <c r="H57" i="2"/>
  <c r="J13" i="2"/>
  <c r="J12" i="2"/>
  <c r="G56" i="2"/>
  <c r="F121" i="2"/>
  <c r="H121" i="2" s="1"/>
  <c r="G121" i="2"/>
  <c r="I121" i="2"/>
  <c r="J121" i="2" s="1"/>
  <c r="H116" i="2"/>
  <c r="G116" i="2"/>
  <c r="H97" i="2"/>
  <c r="G97" i="2"/>
  <c r="G87" i="2"/>
  <c r="H87" i="2"/>
  <c r="F81" i="2"/>
  <c r="H81" i="2" s="1"/>
  <c r="I81" i="2"/>
  <c r="J81" i="2" s="1"/>
  <c r="H22" i="2"/>
  <c r="G22" i="2"/>
  <c r="H131" i="2"/>
  <c r="G131" i="2"/>
  <c r="H126" i="2"/>
  <c r="G126" i="2"/>
  <c r="H91" i="2"/>
  <c r="G91" i="2"/>
  <c r="H53" i="2"/>
  <c r="G53" i="2"/>
  <c r="F36" i="2"/>
  <c r="G36" i="2"/>
  <c r="I36" i="2"/>
  <c r="J36" i="2" s="1"/>
  <c r="G135" i="2"/>
  <c r="H135" i="2"/>
  <c r="H134" i="2"/>
  <c r="G134" i="2"/>
  <c r="G124" i="2"/>
  <c r="H114" i="2"/>
  <c r="G114" i="2"/>
  <c r="H84" i="2"/>
  <c r="G84" i="2"/>
  <c r="K13" i="2"/>
  <c r="K12" i="2"/>
  <c r="H129" i="2"/>
  <c r="G129" i="2"/>
  <c r="G123" i="2"/>
  <c r="H123" i="2"/>
  <c r="G60" i="2"/>
  <c r="H24" i="2"/>
  <c r="G24" i="2"/>
  <c r="Q53" i="1"/>
  <c r="H133" i="2"/>
  <c r="G133" i="2"/>
  <c r="F128" i="2"/>
  <c r="H128" i="2" s="1"/>
  <c r="G128" i="2"/>
  <c r="H74" i="2"/>
  <c r="G74" i="2"/>
  <c r="E44" i="3"/>
  <c r="G85" i="2"/>
  <c r="I125" i="2"/>
  <c r="J125" i="2" s="1"/>
  <c r="I108" i="2"/>
  <c r="J108" i="2" s="1"/>
  <c r="I64" i="2"/>
  <c r="J64" i="2" s="1"/>
  <c r="G103" i="2"/>
  <c r="G37" i="2"/>
  <c r="H137" i="2"/>
  <c r="G93" i="2"/>
  <c r="F136" i="2"/>
  <c r="H136" i="2" s="1"/>
  <c r="I124" i="2"/>
  <c r="J124" i="2" s="1"/>
  <c r="G99" i="2"/>
  <c r="G35" i="2"/>
  <c r="G125" i="2"/>
  <c r="G101" i="2"/>
  <c r="G81" i="1"/>
  <c r="J81" i="1" s="1"/>
  <c r="O81" i="1"/>
  <c r="I99" i="2"/>
  <c r="J99" i="2" s="1"/>
  <c r="I87" i="2"/>
  <c r="J87" i="2" s="1"/>
  <c r="G48" i="2"/>
  <c r="G61" i="2"/>
  <c r="G46" i="2"/>
  <c r="E60" i="3"/>
  <c r="Q66" i="1"/>
  <c r="J18" i="2"/>
  <c r="F18" i="2"/>
  <c r="I18" i="2"/>
  <c r="C11" i="1"/>
  <c r="C12" i="1"/>
  <c r="N88" i="1" l="1"/>
  <c r="N89" i="1"/>
  <c r="N90" i="1"/>
  <c r="C16" i="1"/>
  <c r="D18" i="1" s="1"/>
  <c r="N59" i="1"/>
  <c r="N85" i="1"/>
  <c r="N80" i="1"/>
  <c r="N69" i="1"/>
  <c r="N65" i="1"/>
  <c r="N60" i="1"/>
  <c r="N86" i="1"/>
  <c r="N68" i="1"/>
  <c r="N76" i="1"/>
  <c r="N87" i="1"/>
  <c r="N84" i="1"/>
  <c r="N64" i="1"/>
  <c r="N81" i="1"/>
  <c r="N61" i="1"/>
  <c r="N72" i="1"/>
  <c r="N66" i="1"/>
  <c r="N77" i="1"/>
  <c r="N71" i="1"/>
  <c r="C15" i="1"/>
  <c r="N78" i="1"/>
  <c r="N70" i="1"/>
  <c r="N67" i="1"/>
  <c r="N63" i="1"/>
  <c r="N75" i="1"/>
  <c r="N79" i="1"/>
  <c r="N73" i="1"/>
  <c r="N74" i="1"/>
  <c r="N82" i="1"/>
  <c r="N83" i="1"/>
  <c r="N62" i="1"/>
  <c r="M6" i="2"/>
  <c r="I76" i="1"/>
  <c r="G138" i="2"/>
  <c r="G81" i="2"/>
  <c r="H36" i="2"/>
  <c r="Q81" i="1"/>
  <c r="G47" i="2"/>
  <c r="Q34" i="1"/>
  <c r="Q59" i="1"/>
  <c r="Q28" i="1"/>
  <c r="Q76" i="1"/>
  <c r="H18" i="2"/>
  <c r="G18" i="2"/>
  <c r="E14" i="1" l="1"/>
  <c r="M4" i="2"/>
  <c r="M2" i="2"/>
  <c r="M1" i="2"/>
  <c r="M5" i="2"/>
  <c r="M3" i="2"/>
  <c r="C18" i="1"/>
  <c r="F18" i="1"/>
  <c r="F19" i="1" s="1"/>
  <c r="O116" i="2" l="1"/>
  <c r="O84" i="2"/>
  <c r="O52" i="2"/>
  <c r="O131" i="2"/>
  <c r="O90" i="2"/>
  <c r="O49" i="2"/>
  <c r="O28" i="2"/>
  <c r="O95" i="2"/>
  <c r="O54" i="2"/>
  <c r="O26" i="2"/>
  <c r="O105" i="2"/>
  <c r="O59" i="2"/>
  <c r="O119" i="2"/>
  <c r="O78" i="2"/>
  <c r="O37" i="2"/>
  <c r="O134" i="2"/>
  <c r="O104" i="2"/>
  <c r="O72" i="2"/>
  <c r="O40" i="2"/>
  <c r="O115" i="2"/>
  <c r="O74" i="2"/>
  <c r="O33" i="2"/>
  <c r="O125" i="2"/>
  <c r="O79" i="2"/>
  <c r="O38" i="2"/>
  <c r="O130" i="2"/>
  <c r="O89" i="2"/>
  <c r="O43" i="2"/>
  <c r="O103" i="2"/>
  <c r="O62" i="2"/>
  <c r="O24" i="2"/>
  <c r="O124" i="2"/>
  <c r="O80" i="2"/>
  <c r="O36" i="2"/>
  <c r="O99" i="2"/>
  <c r="O42" i="2"/>
  <c r="O118" i="2"/>
  <c r="O63" i="2"/>
  <c r="O23" i="2"/>
  <c r="O82" i="2"/>
  <c r="O21" i="2"/>
  <c r="O71" i="2"/>
  <c r="O136" i="2"/>
  <c r="O120" i="2"/>
  <c r="O76" i="2"/>
  <c r="O32" i="2"/>
  <c r="O97" i="2"/>
  <c r="O35" i="2"/>
  <c r="O111" i="2"/>
  <c r="O61" i="2"/>
  <c r="O139" i="2"/>
  <c r="O75" i="2"/>
  <c r="O126" i="2"/>
  <c r="O69" i="2"/>
  <c r="O112" i="2"/>
  <c r="O68" i="2"/>
  <c r="O141" i="2"/>
  <c r="O83" i="2"/>
  <c r="O25" i="2"/>
  <c r="O109" i="2"/>
  <c r="O47" i="2"/>
  <c r="O123" i="2"/>
  <c r="O73" i="2"/>
  <c r="O117" i="2"/>
  <c r="O55" i="2"/>
  <c r="O108" i="2"/>
  <c r="O64" i="2"/>
  <c r="O132" i="2"/>
  <c r="O81" i="2"/>
  <c r="O22" i="2"/>
  <c r="O102" i="2"/>
  <c r="O45" i="2"/>
  <c r="O121" i="2"/>
  <c r="O66" i="2"/>
  <c r="O110" i="2"/>
  <c r="O53" i="2"/>
  <c r="O138" i="2"/>
  <c r="O96" i="2"/>
  <c r="O56" i="2"/>
  <c r="O122" i="2"/>
  <c r="O65" i="2"/>
  <c r="O133" i="2"/>
  <c r="O86" i="2"/>
  <c r="O144" i="2"/>
  <c r="O107" i="2"/>
  <c r="O50" i="2"/>
  <c r="O94" i="2"/>
  <c r="O39" i="2"/>
  <c r="O143" i="2"/>
  <c r="O92" i="2"/>
  <c r="O48" i="2"/>
  <c r="O113" i="2"/>
  <c r="O58" i="2"/>
  <c r="O135" i="2"/>
  <c r="O77" i="2"/>
  <c r="O137" i="2"/>
  <c r="O98" i="2"/>
  <c r="O41" i="2"/>
  <c r="O87" i="2"/>
  <c r="O30" i="2"/>
  <c r="O128" i="2"/>
  <c r="O51" i="2"/>
  <c r="O91" i="2"/>
  <c r="O100" i="2"/>
  <c r="O140" i="2"/>
  <c r="O57" i="2"/>
  <c r="O88" i="2"/>
  <c r="O127" i="2"/>
  <c r="O34" i="2"/>
  <c r="O70" i="2"/>
  <c r="O60" i="2"/>
  <c r="O93" i="2"/>
  <c r="O101" i="2"/>
  <c r="O44" i="2"/>
  <c r="O85" i="2"/>
  <c r="O129" i="2"/>
  <c r="O31" i="2"/>
  <c r="O46" i="2"/>
  <c r="O106" i="2"/>
  <c r="O29" i="2"/>
  <c r="O27" i="2"/>
  <c r="O142" i="2"/>
  <c r="O67" i="2"/>
  <c r="O114" i="2"/>
  <c r="M138" i="2"/>
  <c r="M103" i="2"/>
  <c r="M71" i="2"/>
  <c r="M39" i="2"/>
  <c r="M123" i="2"/>
  <c r="M91" i="2"/>
  <c r="M59" i="2"/>
  <c r="M143" i="2"/>
  <c r="M94" i="2"/>
  <c r="M53" i="2"/>
  <c r="M122" i="2"/>
  <c r="M81" i="2"/>
  <c r="M40" i="2"/>
  <c r="M125" i="2"/>
  <c r="M84" i="2"/>
  <c r="M38" i="2"/>
  <c r="M134" i="2"/>
  <c r="M96" i="2"/>
  <c r="M50" i="2"/>
  <c r="M111" i="2"/>
  <c r="M67" i="2"/>
  <c r="M136" i="2"/>
  <c r="M141" i="2"/>
  <c r="M107" i="2"/>
  <c r="M63" i="2"/>
  <c r="M126" i="2"/>
  <c r="M78" i="2"/>
  <c r="M30" i="2"/>
  <c r="M97" i="2"/>
  <c r="M49" i="2"/>
  <c r="M142" i="2"/>
  <c r="M77" i="2"/>
  <c r="M144" i="2"/>
  <c r="M121" i="2"/>
  <c r="M73" i="2"/>
  <c r="M24" i="2"/>
  <c r="M137" i="2"/>
  <c r="M99" i="2"/>
  <c r="M55" i="2"/>
  <c r="M124" i="2"/>
  <c r="M76" i="2"/>
  <c r="M27" i="2"/>
  <c r="M90" i="2"/>
  <c r="M42" i="2"/>
  <c r="M118" i="2"/>
  <c r="M70" i="2"/>
  <c r="M139" i="2"/>
  <c r="M114" i="2"/>
  <c r="M66" i="2"/>
  <c r="M7" i="2"/>
  <c r="E6" i="2" s="1"/>
  <c r="E9" i="2" s="1"/>
  <c r="M133" i="2"/>
  <c r="M95" i="2"/>
  <c r="M51" i="2"/>
  <c r="M117" i="2"/>
  <c r="M69" i="2"/>
  <c r="M21" i="2"/>
  <c r="M88" i="2"/>
  <c r="M33" i="2"/>
  <c r="M116" i="2"/>
  <c r="M68" i="2"/>
  <c r="M127" i="2"/>
  <c r="M83" i="2"/>
  <c r="M43" i="2"/>
  <c r="M108" i="2"/>
  <c r="M60" i="2"/>
  <c r="M120" i="2"/>
  <c r="M72" i="2"/>
  <c r="M25" i="2"/>
  <c r="M102" i="2"/>
  <c r="M54" i="2"/>
  <c r="M26" i="2"/>
  <c r="M98" i="2"/>
  <c r="M48" i="2"/>
  <c r="M119" i="2"/>
  <c r="M79" i="2"/>
  <c r="M35" i="2"/>
  <c r="M101" i="2"/>
  <c r="M46" i="2"/>
  <c r="M113" i="2"/>
  <c r="M65" i="2"/>
  <c r="M22" i="2"/>
  <c r="M100" i="2"/>
  <c r="M52" i="2"/>
  <c r="M23" i="2"/>
  <c r="M89" i="2"/>
  <c r="M41" i="2"/>
  <c r="M115" i="2"/>
  <c r="M62" i="2"/>
  <c r="M56" i="2"/>
  <c r="M45" i="2"/>
  <c r="M82" i="2"/>
  <c r="M31" i="2"/>
  <c r="M109" i="2"/>
  <c r="M34" i="2"/>
  <c r="M87" i="2"/>
  <c r="M44" i="2"/>
  <c r="M28" i="2"/>
  <c r="M36" i="2"/>
  <c r="M80" i="2"/>
  <c r="M75" i="2"/>
  <c r="M37" i="2"/>
  <c r="M140" i="2"/>
  <c r="M132" i="2"/>
  <c r="M64" i="2"/>
  <c r="M47" i="2"/>
  <c r="M129" i="2"/>
  <c r="M135" i="2"/>
  <c r="M29" i="2"/>
  <c r="M57" i="2"/>
  <c r="M106" i="2"/>
  <c r="M130" i="2"/>
  <c r="M110" i="2"/>
  <c r="M104" i="2"/>
  <c r="M93" i="2"/>
  <c r="M128" i="2"/>
  <c r="M32" i="2"/>
  <c r="M92" i="2"/>
  <c r="M74" i="2"/>
  <c r="M86" i="2"/>
  <c r="M112" i="2"/>
  <c r="M85" i="2"/>
  <c r="M131" i="2"/>
  <c r="M58" i="2"/>
  <c r="M61" i="2"/>
  <c r="M105" i="2"/>
  <c r="N143" i="2"/>
  <c r="N116" i="2"/>
  <c r="N84" i="2"/>
  <c r="N124" i="2"/>
  <c r="N88" i="2"/>
  <c r="N120" i="2"/>
  <c r="N80" i="2"/>
  <c r="N48" i="2"/>
  <c r="N131" i="2"/>
  <c r="N90" i="2"/>
  <c r="N49" i="2"/>
  <c r="N37" i="2"/>
  <c r="N95" i="2"/>
  <c r="N54" i="2"/>
  <c r="N135" i="2"/>
  <c r="N104" i="2"/>
  <c r="N68" i="2"/>
  <c r="N36" i="2"/>
  <c r="N115" i="2"/>
  <c r="N74" i="2"/>
  <c r="N33" i="2"/>
  <c r="N125" i="2"/>
  <c r="N79" i="2"/>
  <c r="N38" i="2"/>
  <c r="N130" i="2"/>
  <c r="N89" i="2"/>
  <c r="N43" i="2"/>
  <c r="N69" i="2"/>
  <c r="N110" i="2"/>
  <c r="N136" i="2"/>
  <c r="N100" i="2"/>
  <c r="N64" i="2"/>
  <c r="N32" i="2"/>
  <c r="N113" i="2"/>
  <c r="N67" i="2"/>
  <c r="N25" i="2"/>
  <c r="N118" i="2"/>
  <c r="N77" i="2"/>
  <c r="N31" i="2"/>
  <c r="N123" i="2"/>
  <c r="N82" i="2"/>
  <c r="N41" i="2"/>
  <c r="N62" i="2"/>
  <c r="N103" i="2"/>
  <c r="N134" i="2"/>
  <c r="N60" i="2"/>
  <c r="N129" i="2"/>
  <c r="N58" i="2"/>
  <c r="N127" i="2"/>
  <c r="N61" i="2"/>
  <c r="N23" i="2"/>
  <c r="N73" i="2"/>
  <c r="N119" i="2"/>
  <c r="N117" i="2"/>
  <c r="N97" i="2"/>
  <c r="N93" i="2"/>
  <c r="N105" i="2"/>
  <c r="N39" i="2"/>
  <c r="N128" i="2"/>
  <c r="N56" i="2"/>
  <c r="N122" i="2"/>
  <c r="N51" i="2"/>
  <c r="N111" i="2"/>
  <c r="N47" i="2"/>
  <c r="N121" i="2"/>
  <c r="N66" i="2"/>
  <c r="N101" i="2"/>
  <c r="N94" i="2"/>
  <c r="N112" i="2"/>
  <c r="N52" i="2"/>
  <c r="N106" i="2"/>
  <c r="N42" i="2"/>
  <c r="N109" i="2"/>
  <c r="N45" i="2"/>
  <c r="N114" i="2"/>
  <c r="N59" i="2"/>
  <c r="N87" i="2"/>
  <c r="N85" i="2"/>
  <c r="N40" i="2"/>
  <c r="N108" i="2"/>
  <c r="N44" i="2"/>
  <c r="N99" i="2"/>
  <c r="N35" i="2"/>
  <c r="N102" i="2"/>
  <c r="N144" i="2"/>
  <c r="N107" i="2"/>
  <c r="N57" i="2"/>
  <c r="N53" i="2"/>
  <c r="N78" i="2"/>
  <c r="N96" i="2"/>
  <c r="N22" i="2"/>
  <c r="N137" i="2"/>
  <c r="N50" i="2"/>
  <c r="N71" i="2"/>
  <c r="N92" i="2"/>
  <c r="N28" i="2"/>
  <c r="N83" i="2"/>
  <c r="N140" i="2"/>
  <c r="N86" i="2"/>
  <c r="N132" i="2"/>
  <c r="N98" i="2"/>
  <c r="N34" i="2"/>
  <c r="N30" i="2"/>
  <c r="N55" i="2"/>
  <c r="N76" i="2"/>
  <c r="N24" i="2"/>
  <c r="N81" i="2"/>
  <c r="N133" i="2"/>
  <c r="N70" i="2"/>
  <c r="N29" i="2"/>
  <c r="N91" i="2"/>
  <c r="N141" i="2"/>
  <c r="N27" i="2"/>
  <c r="N46" i="2"/>
  <c r="N142" i="2"/>
  <c r="N63" i="2"/>
  <c r="N26" i="2"/>
  <c r="N75" i="2"/>
  <c r="N139" i="2"/>
  <c r="N21" i="2"/>
  <c r="N72" i="2"/>
  <c r="N126" i="2"/>
  <c r="N65" i="2"/>
  <c r="N138" i="2"/>
  <c r="M18" i="2"/>
  <c r="O18" i="2"/>
  <c r="N18" i="2"/>
  <c r="E4" i="2" l="1"/>
  <c r="E5" i="2"/>
  <c r="K123" i="2" l="1"/>
  <c r="K37" i="2"/>
  <c r="K66" i="2"/>
  <c r="K47" i="2"/>
  <c r="L47" i="2" s="1"/>
  <c r="K109" i="2"/>
  <c r="K68" i="2"/>
  <c r="L68" i="2" s="1"/>
  <c r="K84" i="2"/>
  <c r="L84" i="2" s="1"/>
  <c r="K91" i="2"/>
  <c r="L91" i="2" s="1"/>
  <c r="K62" i="2"/>
  <c r="K108" i="2"/>
  <c r="K135" i="2"/>
  <c r="K104" i="2"/>
  <c r="P104" i="2" s="1"/>
  <c r="K119" i="2"/>
  <c r="K116" i="2"/>
  <c r="P116" i="2" s="1"/>
  <c r="K126" i="2"/>
  <c r="L126" i="2" s="1"/>
  <c r="K113" i="2"/>
  <c r="P113" i="2" s="1"/>
  <c r="K141" i="2"/>
  <c r="K22" i="2"/>
  <c r="K97" i="2"/>
  <c r="K48" i="2"/>
  <c r="L48" i="2" s="1"/>
  <c r="K101" i="2"/>
  <c r="K49" i="2"/>
  <c r="P49" i="2" s="1"/>
  <c r="K129" i="2"/>
  <c r="P129" i="2" s="1"/>
  <c r="K139" i="2"/>
  <c r="P139" i="2" s="1"/>
  <c r="K21" i="2"/>
  <c r="K125" i="2"/>
  <c r="P125" i="2" s="1"/>
  <c r="K132" i="2"/>
  <c r="K28" i="2"/>
  <c r="L28" i="2" s="1"/>
  <c r="K24" i="2"/>
  <c r="K88" i="2"/>
  <c r="L88" i="2" s="1"/>
  <c r="K133" i="2"/>
  <c r="L133" i="2" s="1"/>
  <c r="K41" i="2"/>
  <c r="P41" i="2" s="1"/>
  <c r="K70" i="2"/>
  <c r="K71" i="2"/>
  <c r="P71" i="2" s="1"/>
  <c r="K32" i="2"/>
  <c r="K26" i="2"/>
  <c r="P26" i="2" s="1"/>
  <c r="K31" i="2"/>
  <c r="K76" i="2"/>
  <c r="L76" i="2" s="1"/>
  <c r="K130" i="2"/>
  <c r="P130" i="2" s="1"/>
  <c r="K99" i="2"/>
  <c r="L99" i="2" s="1"/>
  <c r="K65" i="2"/>
  <c r="K105" i="2"/>
  <c r="P105" i="2" s="1"/>
  <c r="K69" i="2"/>
  <c r="P69" i="2" s="1"/>
  <c r="K82" i="2"/>
  <c r="L82" i="2" s="1"/>
  <c r="K124" i="2"/>
  <c r="K83" i="2"/>
  <c r="P83" i="2" s="1"/>
  <c r="K59" i="2"/>
  <c r="P59" i="2" s="1"/>
  <c r="K27" i="2"/>
  <c r="P27" i="2" s="1"/>
  <c r="K23" i="2"/>
  <c r="P23" i="2" s="1"/>
  <c r="K107" i="2"/>
  <c r="L107" i="2" s="1"/>
  <c r="K44" i="2"/>
  <c r="L44" i="2" s="1"/>
  <c r="K114" i="2"/>
  <c r="P114" i="2" s="1"/>
  <c r="K137" i="2"/>
  <c r="K77" i="2"/>
  <c r="P77" i="2" s="1"/>
  <c r="K121" i="2"/>
  <c r="P121" i="2" s="1"/>
  <c r="K54" i="2"/>
  <c r="L54" i="2" s="1"/>
  <c r="K111" i="2"/>
  <c r="K128" i="2"/>
  <c r="L128" i="2" s="1"/>
  <c r="K131" i="2"/>
  <c r="P131" i="2" s="1"/>
  <c r="K102" i="2"/>
  <c r="L102" i="2" s="1"/>
  <c r="K57" i="2"/>
  <c r="K50" i="2"/>
  <c r="P50" i="2" s="1"/>
  <c r="K112" i="2"/>
  <c r="L112" i="2" s="1"/>
  <c r="K29" i="2"/>
  <c r="P29" i="2" s="1"/>
  <c r="K115" i="2"/>
  <c r="K144" i="2"/>
  <c r="P144" i="2" s="1"/>
  <c r="K118" i="2"/>
  <c r="L118" i="2" s="1"/>
  <c r="K35" i="2"/>
  <c r="P35" i="2" s="1"/>
  <c r="K58" i="2"/>
  <c r="K95" i="2"/>
  <c r="P95" i="2" s="1"/>
  <c r="K79" i="2"/>
  <c r="L79" i="2" s="1"/>
  <c r="K36" i="2"/>
  <c r="L36" i="2" s="1"/>
  <c r="K103" i="2"/>
  <c r="K64" i="2"/>
  <c r="L64" i="2" s="1"/>
  <c r="K34" i="2"/>
  <c r="P34" i="2" s="1"/>
  <c r="K74" i="2"/>
  <c r="L74" i="2" s="1"/>
  <c r="K127" i="2"/>
  <c r="K87" i="2"/>
  <c r="P87" i="2" s="1"/>
  <c r="K86" i="2"/>
  <c r="L86" i="2" s="1"/>
  <c r="K40" i="2"/>
  <c r="P40" i="2" s="1"/>
  <c r="K110" i="2"/>
  <c r="K136" i="2"/>
  <c r="L136" i="2" s="1"/>
  <c r="K60" i="2"/>
  <c r="L60" i="2" s="1"/>
  <c r="K33" i="2"/>
  <c r="P33" i="2" s="1"/>
  <c r="K61" i="2"/>
  <c r="L61" i="2" s="1"/>
  <c r="K38" i="2"/>
  <c r="P38" i="2" s="1"/>
  <c r="K143" i="2"/>
  <c r="P143" i="2" s="1"/>
  <c r="K25" i="2"/>
  <c r="P25" i="2" s="1"/>
  <c r="K75" i="2"/>
  <c r="P75" i="2" s="1"/>
  <c r="K56" i="2"/>
  <c r="P56" i="2" s="1"/>
  <c r="K42" i="2"/>
  <c r="P42" i="2" s="1"/>
  <c r="K80" i="2"/>
  <c r="L80" i="2" s="1"/>
  <c r="K96" i="2"/>
  <c r="L96" i="2" s="1"/>
  <c r="K51" i="2"/>
  <c r="L51" i="2" s="1"/>
  <c r="K120" i="2"/>
  <c r="P120" i="2" s="1"/>
  <c r="K43" i="2"/>
  <c r="L43" i="2" s="1"/>
  <c r="K78" i="2"/>
  <c r="P78" i="2" s="1"/>
  <c r="K67" i="2"/>
  <c r="L67" i="2" s="1"/>
  <c r="K46" i="2"/>
  <c r="P46" i="2" s="1"/>
  <c r="K93" i="2"/>
  <c r="L93" i="2" s="1"/>
  <c r="K53" i="2"/>
  <c r="L53" i="2" s="1"/>
  <c r="K73" i="2"/>
  <c r="P73" i="2" s="1"/>
  <c r="K39" i="2"/>
  <c r="P39" i="2" s="1"/>
  <c r="K89" i="2"/>
  <c r="P89" i="2" s="1"/>
  <c r="K52" i="2"/>
  <c r="L52" i="2" s="1"/>
  <c r="K81" i="2"/>
  <c r="P81" i="2" s="1"/>
  <c r="K30" i="2"/>
  <c r="P30" i="2" s="1"/>
  <c r="K63" i="2"/>
  <c r="P63" i="2" s="1"/>
  <c r="K140" i="2"/>
  <c r="L140" i="2" s="1"/>
  <c r="K92" i="2"/>
  <c r="L92" i="2" s="1"/>
  <c r="K106" i="2"/>
  <c r="P106" i="2" s="1"/>
  <c r="K72" i="2"/>
  <c r="L72" i="2" s="1"/>
  <c r="K100" i="2"/>
  <c r="L100" i="2" s="1"/>
  <c r="K122" i="2"/>
  <c r="L122" i="2" s="1"/>
  <c r="K85" i="2"/>
  <c r="L85" i="2" s="1"/>
  <c r="K94" i="2"/>
  <c r="K138" i="2"/>
  <c r="P138" i="2" s="1"/>
  <c r="K134" i="2"/>
  <c r="P134" i="2" s="1"/>
  <c r="K98" i="2"/>
  <c r="L98" i="2" s="1"/>
  <c r="K117" i="2"/>
  <c r="P117" i="2" s="1"/>
  <c r="K45" i="2"/>
  <c r="P45" i="2" s="1"/>
  <c r="K55" i="2"/>
  <c r="L55" i="2" s="1"/>
  <c r="K142" i="2"/>
  <c r="P142" i="2" s="1"/>
  <c r="K90" i="2"/>
  <c r="L90" i="2" s="1"/>
  <c r="P112" i="2"/>
  <c r="L23" i="2"/>
  <c r="P137" i="2"/>
  <c r="L137" i="2"/>
  <c r="L119" i="2"/>
  <c r="P119" i="2"/>
  <c r="P135" i="2"/>
  <c r="L135" i="2"/>
  <c r="L70" i="2"/>
  <c r="P70" i="2"/>
  <c r="P74" i="2"/>
  <c r="P101" i="2"/>
  <c r="L101" i="2"/>
  <c r="L71" i="2"/>
  <c r="L108" i="2"/>
  <c r="P108" i="2"/>
  <c r="P128" i="2"/>
  <c r="L131" i="2"/>
  <c r="P80" i="2"/>
  <c r="L103" i="2"/>
  <c r="P103" i="2"/>
  <c r="P76" i="2"/>
  <c r="L114" i="2"/>
  <c r="L49" i="2"/>
  <c r="P31" i="2"/>
  <c r="L31" i="2"/>
  <c r="L57" i="2"/>
  <c r="P57" i="2"/>
  <c r="P124" i="2"/>
  <c r="L124" i="2"/>
  <c r="L116" i="2"/>
  <c r="P93" i="2"/>
  <c r="L63" i="2"/>
  <c r="P140" i="2"/>
  <c r="L75" i="2"/>
  <c r="P82" i="2"/>
  <c r="P66" i="2"/>
  <c r="L66" i="2"/>
  <c r="L24" i="2"/>
  <c r="P24" i="2"/>
  <c r="L87" i="2"/>
  <c r="P111" i="2"/>
  <c r="L111" i="2"/>
  <c r="L58" i="2"/>
  <c r="P58" i="2"/>
  <c r="L95" i="2"/>
  <c r="L138" i="2"/>
  <c r="P55" i="2"/>
  <c r="L130" i="2"/>
  <c r="L22" i="2"/>
  <c r="P22" i="2"/>
  <c r="L83" i="2"/>
  <c r="P47" i="2"/>
  <c r="L77" i="2"/>
  <c r="P109" i="2"/>
  <c r="L109" i="2"/>
  <c r="P88" i="2"/>
  <c r="P107" i="2"/>
  <c r="L123" i="2"/>
  <c r="P123" i="2"/>
  <c r="L35" i="2"/>
  <c r="P136" i="2"/>
  <c r="P141" i="2"/>
  <c r="L141" i="2"/>
  <c r="P32" i="2"/>
  <c r="L32" i="2"/>
  <c r="L110" i="2"/>
  <c r="P110" i="2"/>
  <c r="P96" i="2"/>
  <c r="L46" i="2"/>
  <c r="L94" i="2"/>
  <c r="P94" i="2"/>
  <c r="L134" i="2"/>
  <c r="P37" i="2"/>
  <c r="L37" i="2"/>
  <c r="P97" i="2"/>
  <c r="L97" i="2"/>
  <c r="P28" i="2"/>
  <c r="L62" i="2"/>
  <c r="P62" i="2"/>
  <c r="P115" i="2"/>
  <c r="L115" i="2"/>
  <c r="P132" i="2"/>
  <c r="L132" i="2"/>
  <c r="L127" i="2"/>
  <c r="P127" i="2"/>
  <c r="P21" i="2"/>
  <c r="L21" i="2"/>
  <c r="P68" i="2"/>
  <c r="P65" i="2"/>
  <c r="L65" i="2"/>
  <c r="P51" i="2"/>
  <c r="L38" i="2" l="1"/>
  <c r="L104" i="2"/>
  <c r="L26" i="2"/>
  <c r="P90" i="2"/>
  <c r="P102" i="2"/>
  <c r="L33" i="2"/>
  <c r="P48" i="2"/>
  <c r="P122" i="2"/>
  <c r="L73" i="2"/>
  <c r="L50" i="2"/>
  <c r="P92" i="2"/>
  <c r="L144" i="2"/>
  <c r="L105" i="2"/>
  <c r="L125" i="2"/>
  <c r="P64" i="2"/>
  <c r="L113" i="2"/>
  <c r="L41" i="2"/>
  <c r="P52" i="2"/>
  <c r="P91" i="2"/>
  <c r="P53" i="2"/>
  <c r="P61" i="2"/>
  <c r="L139" i="2"/>
  <c r="P36" i="2"/>
  <c r="P79" i="2"/>
  <c r="L27" i="2"/>
  <c r="L129" i="2"/>
  <c r="P86" i="2"/>
  <c r="L40" i="2"/>
  <c r="P54" i="2"/>
  <c r="P126" i="2"/>
  <c r="P133" i="2"/>
  <c r="P84" i="2"/>
  <c r="L29" i="2"/>
  <c r="L59" i="2"/>
  <c r="L121" i="2"/>
  <c r="P99" i="2"/>
  <c r="P44" i="2"/>
  <c r="P118" i="2"/>
  <c r="L34" i="2"/>
  <c r="L42" i="2"/>
  <c r="P60" i="2"/>
  <c r="L69" i="2"/>
  <c r="L106" i="2"/>
  <c r="P72" i="2"/>
  <c r="L89" i="2"/>
  <c r="P43" i="2"/>
  <c r="L120" i="2"/>
  <c r="L39" i="2"/>
  <c r="L25" i="2"/>
  <c r="L143" i="2"/>
  <c r="P98" i="2"/>
  <c r="L45" i="2"/>
  <c r="P85" i="2"/>
  <c r="L142" i="2"/>
  <c r="L30" i="2"/>
  <c r="L56" i="2"/>
  <c r="P100" i="2"/>
  <c r="L117" i="2"/>
  <c r="P67" i="2"/>
  <c r="L81" i="2"/>
  <c r="L78" i="2"/>
  <c r="L18" i="2"/>
  <c r="E7" i="2" l="1"/>
  <c r="F4" i="2" s="1"/>
  <c r="H4" i="2" s="1"/>
  <c r="F8" i="2"/>
  <c r="F6" i="2" l="1"/>
  <c r="H6" i="2" s="1"/>
  <c r="F9" i="2" s="1"/>
  <c r="F5" i="2"/>
  <c r="H5" i="2" s="1"/>
  <c r="G9" i="2"/>
</calcChain>
</file>

<file path=xl/sharedStrings.xml><?xml version="1.0" encoding="utf-8"?>
<sst xmlns="http://schemas.openxmlformats.org/spreadsheetml/2006/main" count="766" uniqueCount="399">
  <si>
    <t>Data</t>
  </si>
  <si>
    <t>Epoch =</t>
  </si>
  <si>
    <t>error</t>
  </si>
  <si>
    <t>GCVS 4</t>
  </si>
  <si>
    <t>IBVS 4562</t>
  </si>
  <si>
    <t>IBVS 4711</t>
  </si>
  <si>
    <t>n</t>
  </si>
  <si>
    <t>n'</t>
  </si>
  <si>
    <t>New Period =</t>
  </si>
  <si>
    <t>O-C</t>
  </si>
  <si>
    <t>Period =</t>
  </si>
  <si>
    <t>Source</t>
  </si>
  <si>
    <t>ToM</t>
  </si>
  <si>
    <t>Type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</si>
  <si>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</si>
  <si>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</si>
  <si>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</si>
  <si>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</si>
  <si>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</si>
  <si>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</si>
  <si>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</si>
  <si>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</si>
  <si>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</si>
  <si>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</si>
  <si>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</si>
  <si>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EB</t>
  </si>
  <si>
    <t>Lin. Fit</t>
  </si>
  <si>
    <t>Q. fit</t>
  </si>
  <si>
    <t>IBVS 5263</t>
  </si>
  <si>
    <t>S5</t>
  </si>
  <si>
    <t>Misc</t>
  </si>
  <si>
    <t>IBVS 5592</t>
  </si>
  <si>
    <t>I</t>
  </si>
  <si>
    <t>IBVS 5643</t>
  </si>
  <si>
    <t>A.A.Wachmann AHSB 6.3.60</t>
  </si>
  <si>
    <t>P.Frank BAVM 56</t>
  </si>
  <si>
    <t>Moschner&amp;Kleikamp BAVM 56</t>
  </si>
  <si>
    <t>P.Frank BAVM 60</t>
  </si>
  <si>
    <t>W.Moschner BAVM 68</t>
  </si>
  <si>
    <t>V1004 Cyg / GSC 2673-0578</t>
  </si>
  <si>
    <t>IBVS 5676</t>
  </si>
  <si>
    <t># of data points:</t>
  </si>
  <si>
    <t>IBVS 5731</t>
  </si>
  <si>
    <t>II</t>
  </si>
  <si>
    <t>IBVS 5802</t>
  </si>
  <si>
    <t>Start of linear fit (row #)</t>
  </si>
  <si>
    <t>OEJV 0074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</si>
  <si>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</si>
  <si>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</si>
  <si>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</si>
  <si>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</si>
  <si>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</si>
  <si>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</si>
  <si>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</si>
  <si>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</si>
  <si>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</si>
  <si>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</si>
  <si>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</si>
  <si>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</si>
  <si>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</si>
  <si>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</si>
  <si>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</si>
  <si>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</si>
  <si>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</si>
  <si>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</si>
  <si>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</si>
  <si>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</si>
  <si>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</si>
  <si>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</si>
  <si>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</si>
  <si>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</si>
  <si>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</si>
  <si>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</si>
  <si>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</si>
  <si>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</si>
  <si>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</si>
  <si>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</si>
  <si>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</si>
  <si>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</si>
  <si>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</si>
  <si>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</si>
  <si>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</si>
  <si>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</si>
  <si>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</si>
  <si>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</si>
  <si>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</si>
  <si>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</si>
  <si>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</si>
  <si>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</si>
  <si>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</si>
  <si>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</si>
  <si>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</si>
  <si>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</si>
  <si>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</si>
  <si>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</si>
  <si>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</si>
  <si>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</si>
  <si>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</si>
  <si>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</si>
  <si>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</si>
  <si>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</si>
  <si>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</si>
  <si>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</si>
  <si>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</si>
  <si>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</si>
  <si>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</si>
  <si>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</si>
  <si>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</si>
  <si>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</si>
  <si>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</si>
  <si>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</si>
  <si>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</si>
  <si>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</si>
  <si>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</si>
  <si>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</si>
  <si>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</si>
  <si>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</si>
  <si>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</si>
  <si>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</si>
  <si>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</si>
  <si>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</si>
  <si>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</si>
  <si>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</si>
  <si>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</si>
  <si>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</si>
  <si>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</si>
  <si>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5984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</si>
  <si>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</si>
  <si>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</si>
  <si>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</si>
  <si>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</si>
  <si>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</si>
  <si>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</si>
  <si>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F </t>
  </si>
  <si>
    <t>2428428.400 </t>
  </si>
  <si>
    <t> 16.09.1936 21:36 </t>
  </si>
  <si>
    <t> 0.005 </t>
  </si>
  <si>
    <t>P </t>
  </si>
  <si>
    <t> A.A.Wachmann </t>
  </si>
  <si>
    <t> AHSB 6.3.60 </t>
  </si>
  <si>
    <t>2428542.219 </t>
  </si>
  <si>
    <t> 08.01.1937 17:15 </t>
  </si>
  <si>
    <t> -0.002 </t>
  </si>
  <si>
    <t>2429216.249 </t>
  </si>
  <si>
    <t> 13.11.1938 17:58 </t>
  </si>
  <si>
    <t> -0.015 </t>
  </si>
  <si>
    <t>2432763.410 </t>
  </si>
  <si>
    <t> 30.07.1948 21:50 </t>
  </si>
  <si>
    <t> 0.020 </t>
  </si>
  <si>
    <t>2433542.350 </t>
  </si>
  <si>
    <t> 17.09.1950 20:24 </t>
  </si>
  <si>
    <t>2433893.440 </t>
  </si>
  <si>
    <t> 03.09.1951 22:33 </t>
  </si>
  <si>
    <t> 0.016 </t>
  </si>
  <si>
    <t>2434150.550 </t>
  </si>
  <si>
    <t> 18.05.1952 01:12 </t>
  </si>
  <si>
    <t> -0.011 </t>
  </si>
  <si>
    <t>2434602.450 </t>
  </si>
  <si>
    <t> 12.08.1953 22:48 </t>
  </si>
  <si>
    <t> 0.012 </t>
  </si>
  <si>
    <t>2434622.355 </t>
  </si>
  <si>
    <t> 01.09.1953 20:31 </t>
  </si>
  <si>
    <t> 0.032 </t>
  </si>
  <si>
    <t>2434626.430 </t>
  </si>
  <si>
    <t> 05.09.1953 22:19 </t>
  </si>
  <si>
    <t> -0.007 </t>
  </si>
  <si>
    <t>2434628.485 </t>
  </si>
  <si>
    <t> 07.09.1953 23:38 </t>
  </si>
  <si>
    <t> -0.009 </t>
  </si>
  <si>
    <t>2434637.425 </t>
  </si>
  <si>
    <t> 16.09.1953 22:12 </t>
  </si>
  <si>
    <t> 0.017 </t>
  </si>
  <si>
    <t>2434663.455 </t>
  </si>
  <si>
    <t> 12.10.1953 22:55 </t>
  </si>
  <si>
    <t> -0.010 </t>
  </si>
  <si>
    <t>2435041.280 </t>
  </si>
  <si>
    <t> 25.10.1954 18:43 </t>
  </si>
  <si>
    <t> -0.005 </t>
  </si>
  <si>
    <t>2435195.550 </t>
  </si>
  <si>
    <t> 29.03.1955 01:12 </t>
  </si>
  <si>
    <t> -0.018 </t>
  </si>
  <si>
    <t>2435313.485 </t>
  </si>
  <si>
    <t> 24.07.1955 23:38 </t>
  </si>
  <si>
    <t> -0.023 </t>
  </si>
  <si>
    <t>2435374.520 </t>
  </si>
  <si>
    <t> 24.09.1955 00:28 </t>
  </si>
  <si>
    <t> -0.016 </t>
  </si>
  <si>
    <t>2436810.395 </t>
  </si>
  <si>
    <t> 29.08.1959 21:28 </t>
  </si>
  <si>
    <t> 0.004 </t>
  </si>
  <si>
    <t>2436812.448 </t>
  </si>
  <si>
    <t> 31.08.1959 22:45 </t>
  </si>
  <si>
    <t> -0.001 </t>
  </si>
  <si>
    <t>2436819.328 </t>
  </si>
  <si>
    <t> 07.09.1959 19:52 </t>
  </si>
  <si>
    <t> 0.022 </t>
  </si>
  <si>
    <t>2436847.426 </t>
  </si>
  <si>
    <t> 05.10.1959 22:13 </t>
  </si>
  <si>
    <t> 0.007 </t>
  </si>
  <si>
    <t>2436849.455 </t>
  </si>
  <si>
    <t> 07.10.1959 22:55 </t>
  </si>
  <si>
    <t> -0.021 </t>
  </si>
  <si>
    <t>2436902.275 </t>
  </si>
  <si>
    <t> 29.11.1959 18:36 </t>
  </si>
  <si>
    <t> -0.000 </t>
  </si>
  <si>
    <t>2447671.456 </t>
  </si>
  <si>
    <t> 24.05.1989 22:56 </t>
  </si>
  <si>
    <t> -0.080 </t>
  </si>
  <si>
    <t> P.Frank </t>
  </si>
  <si>
    <t>BAVM 56 </t>
  </si>
  <si>
    <t>2447672.497 </t>
  </si>
  <si>
    <t> 25.05.1989 23:55 </t>
  </si>
  <si>
    <t> -0.068 </t>
  </si>
  <si>
    <t>2447753.406 </t>
  </si>
  <si>
    <t> 14.08.1989 21:44 </t>
  </si>
  <si>
    <t> -0.071 </t>
  </si>
  <si>
    <t> Moschner&amp;Kleikamp </t>
  </si>
  <si>
    <t>2447769.517 </t>
  </si>
  <si>
    <t> 31.08.1989 00:24 </t>
  </si>
  <si>
    <t> -0.074 </t>
  </si>
  <si>
    <t>BAVM 60 </t>
  </si>
  <si>
    <t>2447777.408 </t>
  </si>
  <si>
    <t> 07.09.1989 21:47 </t>
  </si>
  <si>
    <t> -0.069 </t>
  </si>
  <si>
    <t>2447788.379 </t>
  </si>
  <si>
    <t> 18.09.1989 21:05 </t>
  </si>
  <si>
    <t>2447843.236 </t>
  </si>
  <si>
    <t> 12.11.1989 17:39 </t>
  </si>
  <si>
    <t>2448128.485 </t>
  </si>
  <si>
    <t> 24.08.1990 23:38 </t>
  </si>
  <si>
    <t> -0.070 </t>
  </si>
  <si>
    <t>2449125.4826 </t>
  </si>
  <si>
    <t> 17.05.1993 23:34 </t>
  </si>
  <si>
    <t> -0.0803 </t>
  </si>
  <si>
    <t>E </t>
  </si>
  <si>
    <t>o</t>
  </si>
  <si>
    <t> W.Moschner </t>
  </si>
  <si>
    <t>BAVM 68 </t>
  </si>
  <si>
    <t>2449311.3073 </t>
  </si>
  <si>
    <t> 19.11.1993 19:22 </t>
  </si>
  <si>
    <t>2450402.2380 </t>
  </si>
  <si>
    <t> 14.11.1996 17:42 </t>
  </si>
  <si>
    <t> -0.0982 </t>
  </si>
  <si>
    <t>BAVM 102 </t>
  </si>
  <si>
    <t>2450428.2935 </t>
  </si>
  <si>
    <t> 10.12.1996 19:02 </t>
  </si>
  <si>
    <t> -0.0993 </t>
  </si>
  <si>
    <t>2450718.3446 </t>
  </si>
  <si>
    <t> 26.09.1997 20:16 </t>
  </si>
  <si>
    <t>BAVM 117 </t>
  </si>
  <si>
    <t>2451379.3813 </t>
  </si>
  <si>
    <t> 19.07.1999 21:09 </t>
  </si>
  <si>
    <t> -0.0774 </t>
  </si>
  <si>
    <t>?</t>
  </si>
  <si>
    <t> Safar &amp; Zejda </t>
  </si>
  <si>
    <t>IBVS 5263 </t>
  </si>
  <si>
    <t>2451782.53583 </t>
  </si>
  <si>
    <t> 26.08.2000 00:51 </t>
  </si>
  <si>
    <t> -0.11442 </t>
  </si>
  <si>
    <t>C </t>
  </si>
  <si>
    <t> J.Šafár </t>
  </si>
  <si>
    <t>OEJV 0074 </t>
  </si>
  <si>
    <t>2452140.46698 </t>
  </si>
  <si>
    <t> 18.08.2001 23:12 </t>
  </si>
  <si>
    <t> -0.11865 </t>
  </si>
  <si>
    <t>2452858.3825 </t>
  </si>
  <si>
    <t> 06.08.2003 21:10 </t>
  </si>
  <si>
    <t> -0.1310 </t>
  </si>
  <si>
    <t> L.Kotková &amp; M.Wolf </t>
  </si>
  <si>
    <t>IBVS 5676 </t>
  </si>
  <si>
    <t>2452900.2096 </t>
  </si>
  <si>
    <t> 17.09.2003 17:01 </t>
  </si>
  <si>
    <t> -0.1316 </t>
  </si>
  <si>
    <t> T.Krajci </t>
  </si>
  <si>
    <t>IBVS 5592 </t>
  </si>
  <si>
    <t>2452901.5887 </t>
  </si>
  <si>
    <t> 19.09.2003 02:07 </t>
  </si>
  <si>
    <t> -0.1239 </t>
  </si>
  <si>
    <t> F.Agerer </t>
  </si>
  <si>
    <t>BAVM 172 </t>
  </si>
  <si>
    <t>2453222.4835 </t>
  </si>
  <si>
    <t> 04.08.2004 23:36 </t>
  </si>
  <si>
    <t> -0.1367 </t>
  </si>
  <si>
    <t>2453290.3672 </t>
  </si>
  <si>
    <t> 11.10.2004 20:48 </t>
  </si>
  <si>
    <t> -0.1373 </t>
  </si>
  <si>
    <t> M.Zejda et al. </t>
  </si>
  <si>
    <t>IBVS 5741 </t>
  </si>
  <si>
    <t>2453532.447 </t>
  </si>
  <si>
    <t> 10.06.2005 22:43 </t>
  </si>
  <si>
    <t> -0.110 </t>
  </si>
  <si>
    <t>V </t>
  </si>
  <si>
    <t> K.Locher </t>
  </si>
  <si>
    <t>OEJV 0003 </t>
  </si>
  <si>
    <t>2453578.384 </t>
  </si>
  <si>
    <t> 26.07.2005 21:12 </t>
  </si>
  <si>
    <t> -0.114 </t>
  </si>
  <si>
    <t>2453620.5218 </t>
  </si>
  <si>
    <t> 07.09.2005 00:31 </t>
  </si>
  <si>
    <t> -0.1472 </t>
  </si>
  <si>
    <t>-I</t>
  </si>
  <si>
    <t>BAVM 178 </t>
  </si>
  <si>
    <t>2453621.5583 </t>
  </si>
  <si>
    <t> 08.09.2005 01:23 </t>
  </si>
  <si>
    <t>27702</t>
  </si>
  <si>
    <t> -0.1393 </t>
  </si>
  <si>
    <t>2453637.3239 </t>
  </si>
  <si>
    <t> 23.09.2005 19:46 </t>
  </si>
  <si>
    <t>27725</t>
  </si>
  <si>
    <t> -0.1448 </t>
  </si>
  <si>
    <t>2453660.3012 </t>
  </si>
  <si>
    <t> 16.10.2005 19:13 </t>
  </si>
  <si>
    <t>27758.5</t>
  </si>
  <si>
    <t> -0.1384 </t>
  </si>
  <si>
    <t>2453661.3222 </t>
  </si>
  <si>
    <t> 17.10.2005 19:43 </t>
  </si>
  <si>
    <t>27760</t>
  </si>
  <si>
    <t> -0.1460 </t>
  </si>
  <si>
    <t>2453661.3233 </t>
  </si>
  <si>
    <t> 17.10.2005 19:45 </t>
  </si>
  <si>
    <t> -0.1449 </t>
  </si>
  <si>
    <t> C.&amp; M.Rätz </t>
  </si>
  <si>
    <t>2453662.3499 </t>
  </si>
  <si>
    <t> 18.10.2005 20:23 </t>
  </si>
  <si>
    <t>27761.5</t>
  </si>
  <si>
    <t> -0.1468 </t>
  </si>
  <si>
    <t>2454252.3868 </t>
  </si>
  <si>
    <t> 31.05.2007 21:16 </t>
  </si>
  <si>
    <t>28622</t>
  </si>
  <si>
    <t> -0.1547 </t>
  </si>
  <si>
    <t>BAVM 186 </t>
  </si>
  <si>
    <t>2454339.4707 </t>
  </si>
  <si>
    <t> 26.08.2007 23:17 </t>
  </si>
  <si>
    <t>28749</t>
  </si>
  <si>
    <t>BAVM 193 </t>
  </si>
  <si>
    <t>2454941.503 </t>
  </si>
  <si>
    <t> 20.04.2009 00:04 </t>
  </si>
  <si>
    <t>29627</t>
  </si>
  <si>
    <t> -0.167 </t>
  </si>
  <si>
    <t> W.Moschner &amp; P.Frank </t>
  </si>
  <si>
    <t>BAVM 209 </t>
  </si>
  <si>
    <t>2454985.388 </t>
  </si>
  <si>
    <t> 02.06.2009 21:18 </t>
  </si>
  <si>
    <t>29691</t>
  </si>
  <si>
    <t>2455096.4691 </t>
  </si>
  <si>
    <t> 21.09.2009 23:15 </t>
  </si>
  <si>
    <t>29853</t>
  </si>
  <si>
    <t> -0.1691 </t>
  </si>
  <si>
    <t>BAVM 212 </t>
  </si>
  <si>
    <t>2455375.5435 </t>
  </si>
  <si>
    <t> 28.06.2010 01:02 </t>
  </si>
  <si>
    <t>30260</t>
  </si>
  <si>
    <t> -0.1746 </t>
  </si>
  <si>
    <t>BAVM 214 </t>
  </si>
  <si>
    <t>2455397.4849 </t>
  </si>
  <si>
    <t> 19.07.2010 23:38 </t>
  </si>
  <si>
    <t>30292</t>
  </si>
  <si>
    <t> -0.1756 </t>
  </si>
  <si>
    <t>BAVM 215 </t>
  </si>
  <si>
    <t>2455641.5876 </t>
  </si>
  <si>
    <t> 21.03.2011 02:06 </t>
  </si>
  <si>
    <t>30648</t>
  </si>
  <si>
    <t> -0.1821 </t>
  </si>
  <si>
    <t>BAVM 220 </t>
  </si>
  <si>
    <t>2455685.4727 </t>
  </si>
  <si>
    <t> 03.05.2011 23:20 </t>
  </si>
  <si>
    <t>30712</t>
  </si>
  <si>
    <t> -0.1818 </t>
  </si>
  <si>
    <t>2455730.7260 </t>
  </si>
  <si>
    <t> 18.06.2011 05:25 </t>
  </si>
  <si>
    <t>30778</t>
  </si>
  <si>
    <t> -0.1847 </t>
  </si>
  <si>
    <t> R.Diethelm </t>
  </si>
  <si>
    <t>IBVS 5992 </t>
  </si>
  <si>
    <t>2455790.3825 </t>
  </si>
  <si>
    <t> 16.08.2011 21:10 </t>
  </si>
  <si>
    <t>30865</t>
  </si>
  <si>
    <t> -0.1841 </t>
  </si>
  <si>
    <t>BAVM 225 </t>
  </si>
  <si>
    <t>2455794.4978 </t>
  </si>
  <si>
    <t> 20.08.2011 23:56 </t>
  </si>
  <si>
    <t>30871</t>
  </si>
  <si>
    <t> -0.1830 </t>
  </si>
  <si>
    <t>2455804.4432 </t>
  </si>
  <si>
    <t> 30.08.2011 22:38 </t>
  </si>
  <si>
    <t>30885.5</t>
  </si>
  <si>
    <t> -0.1802 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</si>
  <si>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</si>
  <si>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</si>
  <si>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</si>
  <si>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</si>
  <si>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</si>
  <si>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</si>
  <si>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</si>
  <si>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BAD?</t>
  </si>
  <si>
    <t>IBVS 5741</t>
  </si>
  <si>
    <t>OEJV 0003</t>
  </si>
  <si>
    <t>My time zone &gt;&gt;&gt;&gt;&gt;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</si>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</sst>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E+00"/>
    <numFmt numFmtId="166" formatCode="0.0%"/>
    <numFmt numFmtId="167" formatCode="0.0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</borders>
  <cellStyleXfs count="9">
    <xf numFmtId="0" fontId="0" fillId="0" borderId="0"/>
    <xf numFmtId="3" fontId="29" fillId="2" borderId="0"/>
    <xf numFmtId="164" fontId="29" fillId="2" borderId="0"/>
    <xf numFmtId="0" fontId="29" fillId="2" borderId="0"/>
    <xf numFmtId="2" fontId="29" fillId="2" borderId="0"/>
    <xf numFmtId="0" fontId="1" fillId="2" borderId="0"/>
    <xf numFmtId="0" fontId="2" fillId="2" borderId="0"/>
    <xf numFmtId="0" fontId="27" fillId="0" borderId="0" applyNumberFormat="0" applyFill="0" applyBorder="0" applyAlignment="0" applyProtection="0">
      <alignment vertical="top"/>
      <protection locked="0"/>
    </xf>
    <xf numFmtId="0" fontId="29" fillId="2" borderId="2"/>
  </cellStyleXfs>
  <cellXfs count="142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/>
    <xf numFmtId="0" fontId="0" fillId="0" borderId="0" xfId="0" applyAlignment="1">
      <alignment horizontal="left"/>
    </xf>
    <xf numFmtId="0" fontId="18" fillId="0" borderId="0" xfId="0" applyFont="1"/>
    <xf numFmtId="0" fontId="20" fillId="0" borderId="0" xfId="0" applyFont="1"/>
    <xf numFmtId="0" fontId="6" fillId="0" borderId="0" xfId="0" applyFont="1" applyAlignment="1">
      <alignment horizontal="center"/>
    </xf>
    <xf numFmtId="0" fontId="6" fillId="0" borderId="17" xfId="0" applyFont="1" applyBorder="1"/>
    <xf numFmtId="0" fontId="7" fillId="0" borderId="18" xfId="0" applyFont="1" applyBorder="1"/>
    <xf numFmtId="0" fontId="9" fillId="0" borderId="19" xfId="0" applyFont="1" applyBorder="1"/>
    <xf numFmtId="165" fontId="9" fillId="0" borderId="19" xfId="0" applyNumberFormat="1" applyFont="1" applyBorder="1" applyAlignment="1">
      <alignment horizontal="center"/>
    </xf>
    <xf numFmtId="166" fontId="6" fillId="0" borderId="0" xfId="0" applyNumberFormat="1" applyFont="1"/>
    <xf numFmtId="14" fontId="0" fillId="0" borderId="0" xfId="0" applyNumberFormat="1"/>
    <xf numFmtId="0" fontId="6" fillId="0" borderId="20" xfId="0" applyFont="1" applyBorder="1"/>
    <xf numFmtId="0" fontId="7" fillId="0" borderId="21" xfId="0" applyFont="1" applyBorder="1"/>
    <xf numFmtId="0" fontId="9" fillId="0" borderId="22" xfId="0" applyFont="1" applyBorder="1"/>
    <xf numFmtId="165" fontId="9" fillId="0" borderId="22" xfId="0" applyNumberFormat="1" applyFont="1" applyBorder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9" fillId="0" borderId="25" xfId="0" applyFont="1" applyBorder="1"/>
    <xf numFmtId="165" fontId="9" fillId="0" borderId="25" xfId="0" applyNumberFormat="1" applyFont="1" applyBorder="1" applyAlignment="1">
      <alignment horizontal="center"/>
    </xf>
    <xf numFmtId="0" fontId="20" fillId="0" borderId="9" xfId="0" applyFont="1" applyBorder="1"/>
    <xf numFmtId="0" fontId="0" fillId="0" borderId="9" xfId="0" applyBorder="1"/>
    <xf numFmtId="0" fontId="7" fillId="0" borderId="0" xfId="0" applyFont="1"/>
    <xf numFmtId="165" fontId="9" fillId="0" borderId="0" xfId="0" applyNumberFormat="1" applyFont="1" applyAlignment="1">
      <alignment horizontal="center"/>
    </xf>
    <xf numFmtId="10" fontId="8" fillId="0" borderId="0" xfId="0" applyNumberFormat="1" applyFont="1"/>
    <xf numFmtId="0" fontId="21" fillId="0" borderId="0" xfId="0" applyFont="1"/>
    <xf numFmtId="166" fontId="21" fillId="0" borderId="0" xfId="0" applyNumberFormat="1" applyFont="1"/>
    <xf numFmtId="10" fontId="21" fillId="0" borderId="0" xfId="0" applyNumberFormat="1" applyFont="1"/>
    <xf numFmtId="0" fontId="22" fillId="0" borderId="0" xfId="0" applyFont="1" applyProtection="1">
      <protection locked="0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8" fillId="0" borderId="0" xfId="0" applyFont="1"/>
    <xf numFmtId="0" fontId="6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2" fillId="3" borderId="1" xfId="0" applyFont="1" applyFill="1" applyBorder="1"/>
    <xf numFmtId="0" fontId="9" fillId="0" borderId="3" xfId="0" applyFont="1" applyBorder="1"/>
    <xf numFmtId="0" fontId="6" fillId="0" borderId="1" xfId="0" applyFont="1" applyBorder="1"/>
    <xf numFmtId="0" fontId="26" fillId="0" borderId="0" xfId="0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27" fillId="0" borderId="0" xfId="7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0" xfId="0" quotePrefix="1"/>
    <xf numFmtId="0" fontId="15" fillId="4" borderId="26" xfId="0" applyFont="1" applyFill="1" applyBorder="1" applyAlignment="1">
      <alignment horizontal="left" vertical="top" wrapText="1" indent="1"/>
    </xf>
    <xf numFmtId="0" fontId="15" fillId="4" borderId="26" xfId="0" applyFont="1" applyFill="1" applyBorder="1" applyAlignment="1">
      <alignment horizontal="center" vertical="top" wrapText="1"/>
    </xf>
    <xf numFmtId="0" fontId="15" fillId="4" borderId="26" xfId="0" applyFont="1" applyFill="1" applyBorder="1" applyAlignment="1">
      <alignment horizontal="right" vertical="top" wrapText="1"/>
    </xf>
    <xf numFmtId="0" fontId="27" fillId="4" borderId="26" xfId="7" applyFill="1" applyBorder="1" applyAlignment="1" applyProtection="1">
      <alignment horizontal="right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Alignment="1">
      <alignment vertical="center"/>
    </xf>
    <xf numFmtId="11" fontId="0" fillId="0" borderId="0" xfId="0" applyNumberFormat="1" applyAlignment="1">
      <alignment horizontal="center" vertical="center"/>
    </xf>
    <xf numFmtId="0" fontId="0" fillId="2" borderId="10" xfId="0" applyFill="1" applyBorder="1" applyAlignment="1">
      <alignment vertical="center"/>
    </xf>
    <xf numFmtId="11" fontId="0" fillId="2" borderId="5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23" fillId="2" borderId="9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1" fontId="12" fillId="2" borderId="3" xfId="0" applyNumberFormat="1" applyFont="1" applyFill="1" applyBorder="1" applyAlignment="1">
      <alignment vertical="center"/>
    </xf>
    <xf numFmtId="14" fontId="0" fillId="2" borderId="3" xfId="0" applyNumberFormat="1" applyFill="1" applyBorder="1" applyAlignment="1">
      <alignment vertical="center"/>
    </xf>
    <xf numFmtId="11" fontId="0" fillId="2" borderId="3" xfId="0" applyNumberForma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2" borderId="1" xfId="0" applyNumberForma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167" fontId="30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V1004 Cyg - O-C Diagr.</a:t>
            </a:r>
          </a:p>
        </c:rich>
      </c:tx>
      <c:layout>
        <c:manualLayout>
          <c:xMode val="edge"/>
          <c:yMode val="edge"/>
          <c:x val="0.36006338830287721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5237991410537"/>
          <c:y val="0.14970081765300111"/>
          <c:w val="0.82547296560682859"/>
          <c:h val="0.63173745049566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Active!$H$44:$H$1009</c:f>
              <c:numCache>
                <c:formatCode>General</c:formatCode>
                <c:ptCount val="966"/>
                <c:pt idx="0">
                  <c:v>9.8009360001015011E-2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5B-4658-B159-8D597BCB1CC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Active!$I$22:$I$1009</c:f>
              <c:numCache>
                <c:formatCode>General</c:formatCode>
                <c:ptCount val="988"/>
                <c:pt idx="23">
                  <c:v>1.8130525000742637E-2</c:v>
                </c:pt>
                <c:pt idx="24">
                  <c:v>3.0580570004531182E-2</c:v>
                </c:pt>
                <c:pt idx="25">
                  <c:v>2.69841100089252E-2</c:v>
                </c:pt>
                <c:pt idx="26">
                  <c:v>2.4034815003687982E-2</c:v>
                </c:pt>
                <c:pt idx="27">
                  <c:v>2.9485160004696809E-2</c:v>
                </c:pt>
                <c:pt idx="28">
                  <c:v>2.9285640004673041E-2</c:v>
                </c:pt>
                <c:pt idx="29">
                  <c:v>3.0288039997685701E-2</c:v>
                </c:pt>
                <c:pt idx="30">
                  <c:v>2.8100520001316909E-2</c:v>
                </c:pt>
                <c:pt idx="54">
                  <c:v>-5.6527740001911297E-2</c:v>
                </c:pt>
                <c:pt idx="55">
                  <c:v>-6.8801400004304014E-2</c:v>
                </c:pt>
                <c:pt idx="56">
                  <c:v>-6.8599480000557378E-2</c:v>
                </c:pt>
                <c:pt idx="57">
                  <c:v>-7.0894619995669927E-2</c:v>
                </c:pt>
                <c:pt idx="58">
                  <c:v>-7.6382409999496303E-2</c:v>
                </c:pt>
                <c:pt idx="60">
                  <c:v>-8.3870770002249628E-2</c:v>
                </c:pt>
                <c:pt idx="61">
                  <c:v>-8.3568850001029205E-2</c:v>
                </c:pt>
                <c:pt idx="63">
                  <c:v>-8.5864259999652859E-2</c:v>
                </c:pt>
                <c:pt idx="64">
                  <c:v>-8.4764079998421948E-2</c:v>
                </c:pt>
                <c:pt idx="65">
                  <c:v>-8.2013644998369273E-2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5B-4658-B159-8D597BCB1CC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Active!$J$22:$J$1009</c:f>
              <c:numCache>
                <c:formatCode>General</c:formatCode>
                <c:ptCount val="988"/>
                <c:pt idx="31">
                  <c:v>1.7944140003237408E-2</c:v>
                </c:pt>
                <c:pt idx="32">
                  <c:v>1.7952270005480386E-2</c:v>
                </c:pt>
                <c:pt idx="33">
                  <c:v>0</c:v>
                </c:pt>
                <c:pt idx="34">
                  <c:v>-1.0988599970005453E-3</c:v>
                </c:pt>
                <c:pt idx="35">
                  <c:v>-1.086169999325648E-3</c:v>
                </c:pt>
                <c:pt idx="41">
                  <c:v>-2.5690649999887682E-2</c:v>
                </c:pt>
                <c:pt idx="46">
                  <c:v>-4.9009194997779559E-2</c:v>
                </c:pt>
                <c:pt idx="47">
                  <c:v>-4.1059150004002731E-2</c:v>
                </c:pt>
                <c:pt idx="48">
                  <c:v>-4.6558459995139856E-2</c:v>
                </c:pt>
                <c:pt idx="49">
                  <c:v>-4.0207454992923886E-2</c:v>
                </c:pt>
                <c:pt idx="50">
                  <c:v>-4.7757409993209876E-2</c:v>
                </c:pt>
                <c:pt idx="51">
                  <c:v>-4.6657409999170341E-2</c:v>
                </c:pt>
                <c:pt idx="52">
                  <c:v>-4.8607364995405078E-2</c:v>
                </c:pt>
                <c:pt idx="53">
                  <c:v>-5.6531549998908304E-2</c:v>
                </c:pt>
                <c:pt idx="59">
                  <c:v>-7.7381449991662521E-2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5B-4658-B159-8D597BCB1CC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Active!$K$22:$K$1009</c:f>
              <c:numCache>
                <c:formatCode>General</c:formatCode>
                <c:ptCount val="988"/>
                <c:pt idx="37">
                  <c:v>-1.6209609995712526E-2</c:v>
                </c:pt>
                <c:pt idx="38">
                  <c:v>-2.0443950001208577E-2</c:v>
                </c:pt>
                <c:pt idx="39">
                  <c:v>-3.2792539997899439E-2</c:v>
                </c:pt>
                <c:pt idx="40">
                  <c:v>-3.3390709999366663E-2</c:v>
                </c:pt>
                <c:pt idx="42">
                  <c:v>-3.8476609995996114E-2</c:v>
                </c:pt>
                <c:pt idx="43">
                  <c:v>-3.9073640000424348E-2</c:v>
                </c:pt>
                <c:pt idx="62">
                  <c:v>-8.6466869994183071E-2</c:v>
                </c:pt>
                <c:pt idx="66">
                  <c:v>-0.14442367999436101</c:v>
                </c:pt>
                <c:pt idx="67">
                  <c:v>-0.15645146500173723</c:v>
                </c:pt>
                <c:pt idx="68">
                  <c:v>-0.15680142000201158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5B-4658-B159-8D597BCB1CC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Active!$L$22:$L$1009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5B-4658-B159-8D597BCB1C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Active!$M$22:$M$1009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5B-4658-B159-8D597BCB1C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Active!$N$22:$N$1009</c:f>
              <c:numCache>
                <c:formatCode>General</c:formatCode>
                <c:ptCount val="988"/>
                <c:pt idx="37">
                  <c:v>-1.0122365122844867E-2</c:v>
                </c:pt>
                <c:pt idx="38">
                  <c:v>-1.6840795089333747E-2</c:v>
                </c:pt>
                <c:pt idx="39">
                  <c:v>-3.0316266688785586E-2</c:v>
                </c:pt>
                <c:pt idx="40">
                  <c:v>-3.1101370573758426E-2</c:v>
                </c:pt>
                <c:pt idx="41">
                  <c:v>-3.1127111684741145E-2</c:v>
                </c:pt>
                <c:pt idx="42">
                  <c:v>-3.7150531654696693E-2</c:v>
                </c:pt>
                <c:pt idx="43">
                  <c:v>-3.8424716648341135E-2</c:v>
                </c:pt>
                <c:pt idx="44">
                  <c:v>-4.2968022736790512E-2</c:v>
                </c:pt>
                <c:pt idx="45">
                  <c:v>-4.3830349954711495E-2</c:v>
                </c:pt>
                <c:pt idx="46">
                  <c:v>-4.4621889117430015E-2</c:v>
                </c:pt>
                <c:pt idx="47">
                  <c:v>-4.4641194950667054E-2</c:v>
                </c:pt>
                <c:pt idx="48">
                  <c:v>-4.4937217726968286E-2</c:v>
                </c:pt>
                <c:pt idx="49">
                  <c:v>-4.5368381335928777E-2</c:v>
                </c:pt>
                <c:pt idx="50">
                  <c:v>-4.5387687169165816E-2</c:v>
                </c:pt>
                <c:pt idx="51">
                  <c:v>-4.5387687169165816E-2</c:v>
                </c:pt>
                <c:pt idx="52">
                  <c:v>-4.5406993002402855E-2</c:v>
                </c:pt>
                <c:pt idx="53">
                  <c:v>-5.6482106002716428E-2</c:v>
                </c:pt>
                <c:pt idx="54">
                  <c:v>-5.8116666550118892E-2</c:v>
                </c:pt>
                <c:pt idx="55">
                  <c:v>-6.9417014271531227E-2</c:v>
                </c:pt>
                <c:pt idx="56">
                  <c:v>-7.0240729822978132E-2</c:v>
                </c:pt>
                <c:pt idx="57">
                  <c:v>-7.2325759812578133E-2</c:v>
                </c:pt>
                <c:pt idx="58">
                  <c:v>-7.7564075897560841E-2</c:v>
                </c:pt>
                <c:pt idx="59">
                  <c:v>-7.7975933673284301E-2</c:v>
                </c:pt>
                <c:pt idx="60">
                  <c:v>-8.2557851428207749E-2</c:v>
                </c:pt>
                <c:pt idx="61">
                  <c:v>-8.3381566979654667E-2</c:v>
                </c:pt>
                <c:pt idx="62">
                  <c:v>-8.4231023642084291E-2</c:v>
                </c:pt>
                <c:pt idx="63">
                  <c:v>-8.5350761969832448E-2</c:v>
                </c:pt>
                <c:pt idx="64">
                  <c:v>-8.542798530278059E-2</c:v>
                </c:pt>
                <c:pt idx="65">
                  <c:v>-8.5614608357405281E-2</c:v>
                </c:pt>
                <c:pt idx="66">
                  <c:v>-0.14566218500233608</c:v>
                </c:pt>
                <c:pt idx="67">
                  <c:v>-0.15519283134368667</c:v>
                </c:pt>
                <c:pt idx="68">
                  <c:v>-0.15521213717692373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5B-4658-B159-8D597BCB1CCE}"/>
            </c:ext>
          </c:extLst>
        </c:ser>
        <c:ser>
          <c:idx val="7"/>
          <c:order val="7"/>
          <c:tx>
            <c:strRef>
              <c:f>Active!$W$20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Active!$V$22:$V$1009</c:f>
              <c:numCache>
                <c:formatCode>General</c:formatCode>
                <c:ptCount val="988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</c:numCache>
            </c:numRef>
          </c:xVal>
          <c:yVal>
            <c:numRef>
              <c:f>Active!$W$22:$W$1009</c:f>
              <c:numCache>
                <c:formatCode>0.00E+00</c:formatCode>
                <c:ptCount val="988"/>
                <c:pt idx="0">
                  <c:v>9.392769939887452E-2</c:v>
                </c:pt>
                <c:pt idx="1">
                  <c:v>9.7782314248643032E-2</c:v>
                </c:pt>
                <c:pt idx="2">
                  <c:v>0.1001917204182458</c:v>
                </c:pt>
                <c:pt idx="3">
                  <c:v>0.1011559179076829</c:v>
                </c:pt>
                <c:pt idx="4">
                  <c:v>0.10067490671695431</c:v>
                </c:pt>
                <c:pt idx="5">
                  <c:v>9.8748686846060044E-2</c:v>
                </c:pt>
                <c:pt idx="6">
                  <c:v>9.5377258295000045E-2</c:v>
                </c:pt>
                <c:pt idx="7">
                  <c:v>9.0560621063774382E-2</c:v>
                </c:pt>
                <c:pt idx="8">
                  <c:v>8.4298775152383029E-2</c:v>
                </c:pt>
                <c:pt idx="9">
                  <c:v>7.6591720560825971E-2</c:v>
                </c:pt>
                <c:pt idx="10">
                  <c:v>6.743945728910325E-2</c:v>
                </c:pt>
                <c:pt idx="11">
                  <c:v>5.6841985337214809E-2</c:v>
                </c:pt>
                <c:pt idx="12">
                  <c:v>4.4799304705160692E-2</c:v>
                </c:pt>
                <c:pt idx="13">
                  <c:v>3.1311415392940883E-2</c:v>
                </c:pt>
                <c:pt idx="14">
                  <c:v>1.6378317400555384E-2</c:v>
                </c:pt>
                <c:pt idx="15">
                  <c:v>1.0728004194697941E-8</c:v>
                </c:pt>
                <c:pt idx="16">
                  <c:v>-1.7823504624712688E-2</c:v>
                </c:pt>
                <c:pt idx="17">
                  <c:v>-3.7092228657595261E-2</c:v>
                </c:pt>
                <c:pt idx="18">
                  <c:v>-5.7806161370643525E-2</c:v>
                </c:pt>
                <c:pt idx="19">
                  <c:v>-7.9965302763857479E-2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5B-4658-B159-8D597BCB1CC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-32046</c:v>
                </c:pt>
                <c:pt idx="1">
                  <c:v>-31880</c:v>
                </c:pt>
                <c:pt idx="2">
                  <c:v>-30897</c:v>
                </c:pt>
                <c:pt idx="3">
                  <c:v>-25724</c:v>
                </c:pt>
                <c:pt idx="4">
                  <c:v>-24588</c:v>
                </c:pt>
                <c:pt idx="5">
                  <c:v>-24076</c:v>
                </c:pt>
                <c:pt idx="6">
                  <c:v>-23701</c:v>
                </c:pt>
                <c:pt idx="7">
                  <c:v>-23042</c:v>
                </c:pt>
                <c:pt idx="8">
                  <c:v>-23013</c:v>
                </c:pt>
                <c:pt idx="9">
                  <c:v>-23007</c:v>
                </c:pt>
                <c:pt idx="10">
                  <c:v>-23007</c:v>
                </c:pt>
                <c:pt idx="11">
                  <c:v>-23004</c:v>
                </c:pt>
                <c:pt idx="12">
                  <c:v>-22991</c:v>
                </c:pt>
                <c:pt idx="13">
                  <c:v>-22953</c:v>
                </c:pt>
                <c:pt idx="14">
                  <c:v>-22402</c:v>
                </c:pt>
                <c:pt idx="15">
                  <c:v>-22177</c:v>
                </c:pt>
                <c:pt idx="16">
                  <c:v>-22005</c:v>
                </c:pt>
                <c:pt idx="17">
                  <c:v>-21916</c:v>
                </c:pt>
                <c:pt idx="18">
                  <c:v>-19822</c:v>
                </c:pt>
                <c:pt idx="19">
                  <c:v>-19819</c:v>
                </c:pt>
                <c:pt idx="20">
                  <c:v>-19809</c:v>
                </c:pt>
                <c:pt idx="21">
                  <c:v>-19768</c:v>
                </c:pt>
                <c:pt idx="22">
                  <c:v>-19765</c:v>
                </c:pt>
                <c:pt idx="23">
                  <c:v>-19688</c:v>
                </c:pt>
                <c:pt idx="24">
                  <c:v>-3982.5</c:v>
                </c:pt>
                <c:pt idx="25">
                  <c:v>-3981</c:v>
                </c:pt>
                <c:pt idx="26">
                  <c:v>-3863</c:v>
                </c:pt>
                <c:pt idx="27">
                  <c:v>-3839.5</c:v>
                </c:pt>
                <c:pt idx="28">
                  <c:v>-3828</c:v>
                </c:pt>
                <c:pt idx="29">
                  <c:v>-3812</c:v>
                </c:pt>
                <c:pt idx="30">
                  <c:v>-3732</c:v>
                </c:pt>
                <c:pt idx="31">
                  <c:v>-3316</c:v>
                </c:pt>
                <c:pt idx="32">
                  <c:v>-1862</c:v>
                </c:pt>
                <c:pt idx="33">
                  <c:v>-1591</c:v>
                </c:pt>
                <c:pt idx="34">
                  <c:v>0</c:v>
                </c:pt>
                <c:pt idx="35">
                  <c:v>38</c:v>
                </c:pt>
                <c:pt idx="36">
                  <c:v>461</c:v>
                </c:pt>
                <c:pt idx="37">
                  <c:v>1425</c:v>
                </c:pt>
                <c:pt idx="38">
                  <c:v>2013</c:v>
                </c:pt>
                <c:pt idx="39">
                  <c:v>2535</c:v>
                </c:pt>
                <c:pt idx="40">
                  <c:v>3582</c:v>
                </c:pt>
                <c:pt idx="41">
                  <c:v>3643</c:v>
                </c:pt>
                <c:pt idx="42">
                  <c:v>3645</c:v>
                </c:pt>
                <c:pt idx="43">
                  <c:v>4113</c:v>
                </c:pt>
                <c:pt idx="44">
                  <c:v>4212</c:v>
                </c:pt>
                <c:pt idx="45">
                  <c:v>4565</c:v>
                </c:pt>
                <c:pt idx="46">
                  <c:v>4632</c:v>
                </c:pt>
                <c:pt idx="47">
                  <c:v>4693.5</c:v>
                </c:pt>
                <c:pt idx="48">
                  <c:v>4695</c:v>
                </c:pt>
                <c:pt idx="49">
                  <c:v>4718</c:v>
                </c:pt>
                <c:pt idx="50">
                  <c:v>4751.5</c:v>
                </c:pt>
                <c:pt idx="51">
                  <c:v>4753</c:v>
                </c:pt>
                <c:pt idx="52">
                  <c:v>4753</c:v>
                </c:pt>
                <c:pt idx="53">
                  <c:v>4754.5</c:v>
                </c:pt>
                <c:pt idx="54">
                  <c:v>5615</c:v>
                </c:pt>
                <c:pt idx="55">
                  <c:v>5742</c:v>
                </c:pt>
                <c:pt idx="56">
                  <c:v>6620</c:v>
                </c:pt>
                <c:pt idx="57">
                  <c:v>6684</c:v>
                </c:pt>
                <c:pt idx="58">
                  <c:v>6846</c:v>
                </c:pt>
                <c:pt idx="59">
                  <c:v>7253</c:v>
                </c:pt>
                <c:pt idx="60">
                  <c:v>7285</c:v>
                </c:pt>
                <c:pt idx="61">
                  <c:v>7641</c:v>
                </c:pt>
                <c:pt idx="62">
                  <c:v>7705</c:v>
                </c:pt>
                <c:pt idx="63">
                  <c:v>7771</c:v>
                </c:pt>
                <c:pt idx="64">
                  <c:v>7858</c:v>
                </c:pt>
                <c:pt idx="65">
                  <c:v>7864</c:v>
                </c:pt>
                <c:pt idx="66">
                  <c:v>7878.5</c:v>
                </c:pt>
                <c:pt idx="67">
                  <c:v>12544</c:v>
                </c:pt>
                <c:pt idx="68">
                  <c:v>13284.5</c:v>
                </c:pt>
                <c:pt idx="69">
                  <c:v>13286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7">
                  <c:v>2.0842750003794208E-2</c:v>
                </c:pt>
                <c:pt idx="45">
                  <c:v>-1.1363049998180941E-2</c:v>
                </c:pt>
                <c:pt idx="46">
                  <c:v>-1.6261040000244975E-2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5B-4658-B159-8D597BCB1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2768"/>
        <c:axId val="1"/>
      </c:scatterChart>
      <c:valAx>
        <c:axId val="613232768"/>
        <c:scaling>
          <c:orientation val="minMax"/>
          <c:max val="1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000082536852708"/>
              <c:y val="0.862276706429660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157232704402517E-2"/>
              <c:y val="0.35928206578968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27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037900922762016E-2"/>
          <c:y val="0.92215694595061837"/>
          <c:w val="0.77673071526436543"/>
          <c:h val="5.988023952095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V1004 Cyg - O-C Diagr.</a:t>
            </a:r>
          </a:p>
        </c:rich>
      </c:tx>
      <c:layout>
        <c:manualLayout>
          <c:xMode val="edge"/>
          <c:yMode val="edge"/>
          <c:x val="0.36106783355377281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16963378878178"/>
          <c:y val="0.14925373134328357"/>
          <c:w val="0.81789701626966638"/>
          <c:h val="0.632835820895522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Active!$H$44:$H$1009</c:f>
              <c:numCache>
                <c:formatCode>General</c:formatCode>
                <c:ptCount val="966"/>
                <c:pt idx="0">
                  <c:v>9.8009360001015011E-2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0D-44C2-975E-AD8B9D67FF8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Active!$I$22:$I$1009</c:f>
              <c:numCache>
                <c:formatCode>General</c:formatCode>
                <c:ptCount val="988"/>
                <c:pt idx="23">
                  <c:v>1.8130525000742637E-2</c:v>
                </c:pt>
                <c:pt idx="24">
                  <c:v>3.0580570004531182E-2</c:v>
                </c:pt>
                <c:pt idx="25">
                  <c:v>2.69841100089252E-2</c:v>
                </c:pt>
                <c:pt idx="26">
                  <c:v>2.4034815003687982E-2</c:v>
                </c:pt>
                <c:pt idx="27">
                  <c:v>2.9485160004696809E-2</c:v>
                </c:pt>
                <c:pt idx="28">
                  <c:v>2.9285640004673041E-2</c:v>
                </c:pt>
                <c:pt idx="29">
                  <c:v>3.0288039997685701E-2</c:v>
                </c:pt>
                <c:pt idx="30">
                  <c:v>2.8100520001316909E-2</c:v>
                </c:pt>
                <c:pt idx="54">
                  <c:v>-5.6527740001911297E-2</c:v>
                </c:pt>
                <c:pt idx="55">
                  <c:v>-6.8801400004304014E-2</c:v>
                </c:pt>
                <c:pt idx="56">
                  <c:v>-6.8599480000557378E-2</c:v>
                </c:pt>
                <c:pt idx="57">
                  <c:v>-7.0894619995669927E-2</c:v>
                </c:pt>
                <c:pt idx="58">
                  <c:v>-7.6382409999496303E-2</c:v>
                </c:pt>
                <c:pt idx="60">
                  <c:v>-8.3870770002249628E-2</c:v>
                </c:pt>
                <c:pt idx="61">
                  <c:v>-8.3568850001029205E-2</c:v>
                </c:pt>
                <c:pt idx="63">
                  <c:v>-8.5864259999652859E-2</c:v>
                </c:pt>
                <c:pt idx="64">
                  <c:v>-8.4764079998421948E-2</c:v>
                </c:pt>
                <c:pt idx="65">
                  <c:v>-8.2013644998369273E-2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D-44C2-975E-AD8B9D67FF8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Active!$D$21:$D$25</c:f>
                <c:numCache>
                  <c:formatCode>General</c:formatCode>
                  <c:ptCount val="5"/>
                </c:numCache>
              </c:numRef>
            </c:plus>
            <c:minus>
              <c:numRef>
                <c:f>Active!$D$21:$D$25</c:f>
                <c:numCache>
                  <c:formatCode>General</c:formatCode>
                  <c:ptCount val="5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Active!$J$22:$J$1009</c:f>
              <c:numCache>
                <c:formatCode>General</c:formatCode>
                <c:ptCount val="988"/>
                <c:pt idx="31">
                  <c:v>1.7944140003237408E-2</c:v>
                </c:pt>
                <c:pt idx="32">
                  <c:v>1.7952270005480386E-2</c:v>
                </c:pt>
                <c:pt idx="33">
                  <c:v>0</c:v>
                </c:pt>
                <c:pt idx="34">
                  <c:v>-1.0988599970005453E-3</c:v>
                </c:pt>
                <c:pt idx="35">
                  <c:v>-1.086169999325648E-3</c:v>
                </c:pt>
                <c:pt idx="41">
                  <c:v>-2.5690649999887682E-2</c:v>
                </c:pt>
                <c:pt idx="46">
                  <c:v>-4.9009194997779559E-2</c:v>
                </c:pt>
                <c:pt idx="47">
                  <c:v>-4.1059150004002731E-2</c:v>
                </c:pt>
                <c:pt idx="48">
                  <c:v>-4.6558459995139856E-2</c:v>
                </c:pt>
                <c:pt idx="49">
                  <c:v>-4.0207454992923886E-2</c:v>
                </c:pt>
                <c:pt idx="50">
                  <c:v>-4.7757409993209876E-2</c:v>
                </c:pt>
                <c:pt idx="51">
                  <c:v>-4.6657409999170341E-2</c:v>
                </c:pt>
                <c:pt idx="52">
                  <c:v>-4.8607364995405078E-2</c:v>
                </c:pt>
                <c:pt idx="53">
                  <c:v>-5.6531549998908304E-2</c:v>
                </c:pt>
                <c:pt idx="59">
                  <c:v>-7.7381449991662521E-2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0D-44C2-975E-AD8B9D67FF8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Active!$K$22:$K$1009</c:f>
              <c:numCache>
                <c:formatCode>General</c:formatCode>
                <c:ptCount val="988"/>
                <c:pt idx="37">
                  <c:v>-1.6209609995712526E-2</c:v>
                </c:pt>
                <c:pt idx="38">
                  <c:v>-2.0443950001208577E-2</c:v>
                </c:pt>
                <c:pt idx="39">
                  <c:v>-3.2792539997899439E-2</c:v>
                </c:pt>
                <c:pt idx="40">
                  <c:v>-3.3390709999366663E-2</c:v>
                </c:pt>
                <c:pt idx="42">
                  <c:v>-3.8476609995996114E-2</c:v>
                </c:pt>
                <c:pt idx="43">
                  <c:v>-3.9073640000424348E-2</c:v>
                </c:pt>
                <c:pt idx="62">
                  <c:v>-8.6466869994183071E-2</c:v>
                </c:pt>
                <c:pt idx="66">
                  <c:v>-0.14442367999436101</c:v>
                </c:pt>
                <c:pt idx="67">
                  <c:v>-0.15645146500173723</c:v>
                </c:pt>
                <c:pt idx="68">
                  <c:v>-0.15680142000201158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0D-44C2-975E-AD8B9D67FF8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Active!$L$22:$L$1009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0D-44C2-975E-AD8B9D67FF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Active!$M$22:$M$1009</c:f>
              <c:numCache>
                <c:formatCode>General</c:formatCode>
                <c:ptCount val="9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0D-44C2-975E-AD8B9D67FF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Active!$F$22:$F$1009</c:f>
              <c:numCache>
                <c:formatCode>General</c:formatCode>
                <c:ptCount val="988"/>
                <c:pt idx="0">
                  <c:v>-31880</c:v>
                </c:pt>
                <c:pt idx="1">
                  <c:v>-30897</c:v>
                </c:pt>
                <c:pt idx="2">
                  <c:v>-25724</c:v>
                </c:pt>
                <c:pt idx="3">
                  <c:v>-24588</c:v>
                </c:pt>
                <c:pt idx="4">
                  <c:v>-24076</c:v>
                </c:pt>
                <c:pt idx="5">
                  <c:v>-23701</c:v>
                </c:pt>
                <c:pt idx="6">
                  <c:v>-23042</c:v>
                </c:pt>
                <c:pt idx="7">
                  <c:v>-23013</c:v>
                </c:pt>
                <c:pt idx="8">
                  <c:v>-23007</c:v>
                </c:pt>
                <c:pt idx="9">
                  <c:v>-23007</c:v>
                </c:pt>
                <c:pt idx="10">
                  <c:v>-23004</c:v>
                </c:pt>
                <c:pt idx="11">
                  <c:v>-22991</c:v>
                </c:pt>
                <c:pt idx="12">
                  <c:v>-22953</c:v>
                </c:pt>
                <c:pt idx="13">
                  <c:v>-22402</c:v>
                </c:pt>
                <c:pt idx="14">
                  <c:v>-22177</c:v>
                </c:pt>
                <c:pt idx="15">
                  <c:v>-22005</c:v>
                </c:pt>
                <c:pt idx="16">
                  <c:v>-21916</c:v>
                </c:pt>
                <c:pt idx="17">
                  <c:v>-19822</c:v>
                </c:pt>
                <c:pt idx="18">
                  <c:v>-19819</c:v>
                </c:pt>
                <c:pt idx="19">
                  <c:v>-19809</c:v>
                </c:pt>
                <c:pt idx="20">
                  <c:v>-19768</c:v>
                </c:pt>
                <c:pt idx="21">
                  <c:v>-19765</c:v>
                </c:pt>
                <c:pt idx="22">
                  <c:v>-19688</c:v>
                </c:pt>
                <c:pt idx="23">
                  <c:v>-3982.5</c:v>
                </c:pt>
                <c:pt idx="24">
                  <c:v>-3981</c:v>
                </c:pt>
                <c:pt idx="25">
                  <c:v>-3863</c:v>
                </c:pt>
                <c:pt idx="26">
                  <c:v>-3839.5</c:v>
                </c:pt>
                <c:pt idx="27">
                  <c:v>-3828</c:v>
                </c:pt>
                <c:pt idx="28">
                  <c:v>-3812</c:v>
                </c:pt>
                <c:pt idx="29">
                  <c:v>-3732</c:v>
                </c:pt>
                <c:pt idx="30">
                  <c:v>-3316</c:v>
                </c:pt>
                <c:pt idx="31">
                  <c:v>-1862</c:v>
                </c:pt>
                <c:pt idx="32">
                  <c:v>-1591</c:v>
                </c:pt>
                <c:pt idx="33">
                  <c:v>0</c:v>
                </c:pt>
                <c:pt idx="34">
                  <c:v>38</c:v>
                </c:pt>
                <c:pt idx="35">
                  <c:v>461</c:v>
                </c:pt>
                <c:pt idx="36">
                  <c:v>1425</c:v>
                </c:pt>
                <c:pt idx="37">
                  <c:v>2013</c:v>
                </c:pt>
                <c:pt idx="38">
                  <c:v>2535</c:v>
                </c:pt>
                <c:pt idx="39">
                  <c:v>3582</c:v>
                </c:pt>
                <c:pt idx="40">
                  <c:v>3643</c:v>
                </c:pt>
                <c:pt idx="41">
                  <c:v>3645</c:v>
                </c:pt>
                <c:pt idx="42">
                  <c:v>4113</c:v>
                </c:pt>
                <c:pt idx="43">
                  <c:v>4212</c:v>
                </c:pt>
                <c:pt idx="44">
                  <c:v>4565</c:v>
                </c:pt>
                <c:pt idx="45">
                  <c:v>4632</c:v>
                </c:pt>
                <c:pt idx="46">
                  <c:v>4693.5</c:v>
                </c:pt>
                <c:pt idx="47">
                  <c:v>4695</c:v>
                </c:pt>
                <c:pt idx="48">
                  <c:v>4718</c:v>
                </c:pt>
                <c:pt idx="49">
                  <c:v>4751.5</c:v>
                </c:pt>
                <c:pt idx="50">
                  <c:v>4753</c:v>
                </c:pt>
                <c:pt idx="51">
                  <c:v>4753</c:v>
                </c:pt>
                <c:pt idx="52">
                  <c:v>4754.5</c:v>
                </c:pt>
                <c:pt idx="53">
                  <c:v>5615</c:v>
                </c:pt>
                <c:pt idx="54">
                  <c:v>5742</c:v>
                </c:pt>
                <c:pt idx="55">
                  <c:v>6620</c:v>
                </c:pt>
                <c:pt idx="56">
                  <c:v>6684</c:v>
                </c:pt>
                <c:pt idx="57">
                  <c:v>6846</c:v>
                </c:pt>
                <c:pt idx="58">
                  <c:v>7253</c:v>
                </c:pt>
                <c:pt idx="59">
                  <c:v>7285</c:v>
                </c:pt>
                <c:pt idx="60">
                  <c:v>7641</c:v>
                </c:pt>
                <c:pt idx="61">
                  <c:v>7705</c:v>
                </c:pt>
                <c:pt idx="62">
                  <c:v>7771</c:v>
                </c:pt>
                <c:pt idx="63">
                  <c:v>7858</c:v>
                </c:pt>
                <c:pt idx="64">
                  <c:v>7864</c:v>
                </c:pt>
                <c:pt idx="65">
                  <c:v>7878.5</c:v>
                </c:pt>
                <c:pt idx="66">
                  <c:v>12544</c:v>
                </c:pt>
                <c:pt idx="67">
                  <c:v>13284.5</c:v>
                </c:pt>
                <c:pt idx="68">
                  <c:v>13286</c:v>
                </c:pt>
              </c:numCache>
            </c:numRef>
          </c:xVal>
          <c:yVal>
            <c:numRef>
              <c:f>Active!$N$22:$N$1009</c:f>
              <c:numCache>
                <c:formatCode>General</c:formatCode>
                <c:ptCount val="988"/>
                <c:pt idx="37">
                  <c:v>-1.0122365122844867E-2</c:v>
                </c:pt>
                <c:pt idx="38">
                  <c:v>-1.6840795089333747E-2</c:v>
                </c:pt>
                <c:pt idx="39">
                  <c:v>-3.0316266688785586E-2</c:v>
                </c:pt>
                <c:pt idx="40">
                  <c:v>-3.1101370573758426E-2</c:v>
                </c:pt>
                <c:pt idx="41">
                  <c:v>-3.1127111684741145E-2</c:v>
                </c:pt>
                <c:pt idx="42">
                  <c:v>-3.7150531654696693E-2</c:v>
                </c:pt>
                <c:pt idx="43">
                  <c:v>-3.8424716648341135E-2</c:v>
                </c:pt>
                <c:pt idx="44">
                  <c:v>-4.2968022736790512E-2</c:v>
                </c:pt>
                <c:pt idx="45">
                  <c:v>-4.3830349954711495E-2</c:v>
                </c:pt>
                <c:pt idx="46">
                  <c:v>-4.4621889117430015E-2</c:v>
                </c:pt>
                <c:pt idx="47">
                  <c:v>-4.4641194950667054E-2</c:v>
                </c:pt>
                <c:pt idx="48">
                  <c:v>-4.4937217726968286E-2</c:v>
                </c:pt>
                <c:pt idx="49">
                  <c:v>-4.5368381335928777E-2</c:v>
                </c:pt>
                <c:pt idx="50">
                  <c:v>-4.5387687169165816E-2</c:v>
                </c:pt>
                <c:pt idx="51">
                  <c:v>-4.5387687169165816E-2</c:v>
                </c:pt>
                <c:pt idx="52">
                  <c:v>-4.5406993002402855E-2</c:v>
                </c:pt>
                <c:pt idx="53">
                  <c:v>-5.6482106002716428E-2</c:v>
                </c:pt>
                <c:pt idx="54">
                  <c:v>-5.8116666550118892E-2</c:v>
                </c:pt>
                <c:pt idx="55">
                  <c:v>-6.9417014271531227E-2</c:v>
                </c:pt>
                <c:pt idx="56">
                  <c:v>-7.0240729822978132E-2</c:v>
                </c:pt>
                <c:pt idx="57">
                  <c:v>-7.2325759812578133E-2</c:v>
                </c:pt>
                <c:pt idx="58">
                  <c:v>-7.7564075897560841E-2</c:v>
                </c:pt>
                <c:pt idx="59">
                  <c:v>-7.7975933673284301E-2</c:v>
                </c:pt>
                <c:pt idx="60">
                  <c:v>-8.2557851428207749E-2</c:v>
                </c:pt>
                <c:pt idx="61">
                  <c:v>-8.3381566979654667E-2</c:v>
                </c:pt>
                <c:pt idx="62">
                  <c:v>-8.4231023642084291E-2</c:v>
                </c:pt>
                <c:pt idx="63">
                  <c:v>-8.5350761969832448E-2</c:v>
                </c:pt>
                <c:pt idx="64">
                  <c:v>-8.542798530278059E-2</c:v>
                </c:pt>
                <c:pt idx="65">
                  <c:v>-8.5614608357405281E-2</c:v>
                </c:pt>
                <c:pt idx="66">
                  <c:v>-0.14566218500233608</c:v>
                </c:pt>
                <c:pt idx="67">
                  <c:v>-0.15519283134368667</c:v>
                </c:pt>
                <c:pt idx="68">
                  <c:v>-0.15521213717692373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0D-44C2-975E-AD8B9D67FF89}"/>
            </c:ext>
          </c:extLst>
        </c:ser>
        <c:ser>
          <c:idx val="7"/>
          <c:order val="7"/>
          <c:tx>
            <c:strRef>
              <c:f>Active!$W$20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Active!$V$22:$V$1009</c:f>
              <c:numCache>
                <c:formatCode>General</c:formatCode>
                <c:ptCount val="988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</c:numCache>
            </c:numRef>
          </c:xVal>
          <c:yVal>
            <c:numRef>
              <c:f>Active!$W$22:$W$1009</c:f>
              <c:numCache>
                <c:formatCode>0.00E+00</c:formatCode>
                <c:ptCount val="988"/>
                <c:pt idx="0">
                  <c:v>9.392769939887452E-2</c:v>
                </c:pt>
                <c:pt idx="1">
                  <c:v>9.7782314248643032E-2</c:v>
                </c:pt>
                <c:pt idx="2">
                  <c:v>0.1001917204182458</c:v>
                </c:pt>
                <c:pt idx="3">
                  <c:v>0.1011559179076829</c:v>
                </c:pt>
                <c:pt idx="4">
                  <c:v>0.10067490671695431</c:v>
                </c:pt>
                <c:pt idx="5">
                  <c:v>9.8748686846060044E-2</c:v>
                </c:pt>
                <c:pt idx="6">
                  <c:v>9.5377258295000045E-2</c:v>
                </c:pt>
                <c:pt idx="7">
                  <c:v>9.0560621063774382E-2</c:v>
                </c:pt>
                <c:pt idx="8">
                  <c:v>8.4298775152383029E-2</c:v>
                </c:pt>
                <c:pt idx="9">
                  <c:v>7.6591720560825971E-2</c:v>
                </c:pt>
                <c:pt idx="10">
                  <c:v>6.743945728910325E-2</c:v>
                </c:pt>
                <c:pt idx="11">
                  <c:v>5.6841985337214809E-2</c:v>
                </c:pt>
                <c:pt idx="12">
                  <c:v>4.4799304705160692E-2</c:v>
                </c:pt>
                <c:pt idx="13">
                  <c:v>3.1311415392940883E-2</c:v>
                </c:pt>
                <c:pt idx="14">
                  <c:v>1.6378317400555384E-2</c:v>
                </c:pt>
                <c:pt idx="15">
                  <c:v>1.0728004194697941E-8</c:v>
                </c:pt>
                <c:pt idx="16">
                  <c:v>-1.7823504624712688E-2</c:v>
                </c:pt>
                <c:pt idx="17">
                  <c:v>-3.7092228657595261E-2</c:v>
                </c:pt>
                <c:pt idx="18">
                  <c:v>-5.7806161370643525E-2</c:v>
                </c:pt>
                <c:pt idx="19">
                  <c:v>-7.9965302763857479E-2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0D-44C2-975E-AD8B9D67FF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-32046</c:v>
                </c:pt>
                <c:pt idx="1">
                  <c:v>-31880</c:v>
                </c:pt>
                <c:pt idx="2">
                  <c:v>-30897</c:v>
                </c:pt>
                <c:pt idx="3">
                  <c:v>-25724</c:v>
                </c:pt>
                <c:pt idx="4">
                  <c:v>-24588</c:v>
                </c:pt>
                <c:pt idx="5">
                  <c:v>-24076</c:v>
                </c:pt>
                <c:pt idx="6">
                  <c:v>-23701</c:v>
                </c:pt>
                <c:pt idx="7">
                  <c:v>-23042</c:v>
                </c:pt>
                <c:pt idx="8">
                  <c:v>-23013</c:v>
                </c:pt>
                <c:pt idx="9">
                  <c:v>-23007</c:v>
                </c:pt>
                <c:pt idx="10">
                  <c:v>-23007</c:v>
                </c:pt>
                <c:pt idx="11">
                  <c:v>-23004</c:v>
                </c:pt>
                <c:pt idx="12">
                  <c:v>-22991</c:v>
                </c:pt>
                <c:pt idx="13">
                  <c:v>-22953</c:v>
                </c:pt>
                <c:pt idx="14">
                  <c:v>-22402</c:v>
                </c:pt>
                <c:pt idx="15">
                  <c:v>-22177</c:v>
                </c:pt>
                <c:pt idx="16">
                  <c:v>-22005</c:v>
                </c:pt>
                <c:pt idx="17">
                  <c:v>-21916</c:v>
                </c:pt>
                <c:pt idx="18">
                  <c:v>-19822</c:v>
                </c:pt>
                <c:pt idx="19">
                  <c:v>-19819</c:v>
                </c:pt>
                <c:pt idx="20">
                  <c:v>-19809</c:v>
                </c:pt>
                <c:pt idx="21">
                  <c:v>-19768</c:v>
                </c:pt>
                <c:pt idx="22">
                  <c:v>-19765</c:v>
                </c:pt>
                <c:pt idx="23">
                  <c:v>-19688</c:v>
                </c:pt>
                <c:pt idx="24">
                  <c:v>-3982.5</c:v>
                </c:pt>
                <c:pt idx="25">
                  <c:v>-3981</c:v>
                </c:pt>
                <c:pt idx="26">
                  <c:v>-3863</c:v>
                </c:pt>
                <c:pt idx="27">
                  <c:v>-3839.5</c:v>
                </c:pt>
                <c:pt idx="28">
                  <c:v>-3828</c:v>
                </c:pt>
                <c:pt idx="29">
                  <c:v>-3812</c:v>
                </c:pt>
                <c:pt idx="30">
                  <c:v>-3732</c:v>
                </c:pt>
                <c:pt idx="31">
                  <c:v>-3316</c:v>
                </c:pt>
                <c:pt idx="32">
                  <c:v>-1862</c:v>
                </c:pt>
                <c:pt idx="33">
                  <c:v>-1591</c:v>
                </c:pt>
                <c:pt idx="34">
                  <c:v>0</c:v>
                </c:pt>
                <c:pt idx="35">
                  <c:v>38</c:v>
                </c:pt>
                <c:pt idx="36">
                  <c:v>461</c:v>
                </c:pt>
                <c:pt idx="37">
                  <c:v>1425</c:v>
                </c:pt>
                <c:pt idx="38">
                  <c:v>2013</c:v>
                </c:pt>
                <c:pt idx="39">
                  <c:v>2535</c:v>
                </c:pt>
                <c:pt idx="40">
                  <c:v>3582</c:v>
                </c:pt>
                <c:pt idx="41">
                  <c:v>3643</c:v>
                </c:pt>
                <c:pt idx="42">
                  <c:v>3645</c:v>
                </c:pt>
                <c:pt idx="43">
                  <c:v>4113</c:v>
                </c:pt>
                <c:pt idx="44">
                  <c:v>4212</c:v>
                </c:pt>
                <c:pt idx="45">
                  <c:v>4565</c:v>
                </c:pt>
                <c:pt idx="46">
                  <c:v>4632</c:v>
                </c:pt>
                <c:pt idx="47">
                  <c:v>4693.5</c:v>
                </c:pt>
                <c:pt idx="48">
                  <c:v>4695</c:v>
                </c:pt>
                <c:pt idx="49">
                  <c:v>4718</c:v>
                </c:pt>
                <c:pt idx="50">
                  <c:v>4751.5</c:v>
                </c:pt>
                <c:pt idx="51">
                  <c:v>4753</c:v>
                </c:pt>
                <c:pt idx="52">
                  <c:v>4753</c:v>
                </c:pt>
                <c:pt idx="53">
                  <c:v>4754.5</c:v>
                </c:pt>
                <c:pt idx="54">
                  <c:v>5615</c:v>
                </c:pt>
                <c:pt idx="55">
                  <c:v>5742</c:v>
                </c:pt>
                <c:pt idx="56">
                  <c:v>6620</c:v>
                </c:pt>
                <c:pt idx="57">
                  <c:v>6684</c:v>
                </c:pt>
                <c:pt idx="58">
                  <c:v>6846</c:v>
                </c:pt>
                <c:pt idx="59">
                  <c:v>7253</c:v>
                </c:pt>
                <c:pt idx="60">
                  <c:v>7285</c:v>
                </c:pt>
                <c:pt idx="61">
                  <c:v>7641</c:v>
                </c:pt>
                <c:pt idx="62">
                  <c:v>7705</c:v>
                </c:pt>
                <c:pt idx="63">
                  <c:v>7771</c:v>
                </c:pt>
                <c:pt idx="64">
                  <c:v>7858</c:v>
                </c:pt>
                <c:pt idx="65">
                  <c:v>7864</c:v>
                </c:pt>
                <c:pt idx="66">
                  <c:v>7878.5</c:v>
                </c:pt>
                <c:pt idx="67">
                  <c:v>12544</c:v>
                </c:pt>
                <c:pt idx="68">
                  <c:v>13284.5</c:v>
                </c:pt>
                <c:pt idx="69">
                  <c:v>13286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7">
                  <c:v>2.0842750003794208E-2</c:v>
                </c:pt>
                <c:pt idx="45">
                  <c:v>-1.1363049998180941E-2</c:v>
                </c:pt>
                <c:pt idx="46">
                  <c:v>-1.6261040000244975E-2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0D-44C2-975E-AD8B9D67F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3096"/>
        <c:axId val="1"/>
      </c:scatterChart>
      <c:valAx>
        <c:axId val="613233096"/>
        <c:scaling>
          <c:orientation val="minMax"/>
          <c:max val="14000"/>
          <c:min val="-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07568284733639"/>
              <c:y val="0.86268656716417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117739403453691E-2"/>
              <c:y val="0.36119402985074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3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2794348508634218E-2"/>
          <c:y val="0.92238805970149251"/>
          <c:w val="0.77551086333988473"/>
          <c:h val="5.97014925373133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0</xdr:row>
      <xdr:rowOff>9525</xdr:rowOff>
    </xdr:from>
    <xdr:to>
      <xdr:col>15</xdr:col>
      <xdr:colOff>571499</xdr:colOff>
      <xdr:row>18</xdr:row>
      <xdr:rowOff>114300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CE76EC5-7FE2-78A6-4E0F-5780CE532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</xdr:colOff>
      <xdr:row>0</xdr:row>
      <xdr:rowOff>0</xdr:rowOff>
    </xdr:from>
    <xdr:to>
      <xdr:col>26</xdr:col>
      <xdr:colOff>9525</xdr:colOff>
      <xdr:row>18</xdr:row>
      <xdr:rowOff>114300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AC588B2A-0785-3824-5832-773DDE2F6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117" TargetMode="External"/><Relationship Id="rId18" Type="http://schemas.openxmlformats.org/officeDocument/2006/relationships/hyperlink" Target="http://www.konkoly.hu/cgi-bin/IBVS?5592" TargetMode="External"/><Relationship Id="rId26" Type="http://schemas.openxmlformats.org/officeDocument/2006/relationships/hyperlink" Target="http://www.bav-astro.de/sfs/BAVM_link.php?BAVMnr=178" TargetMode="External"/><Relationship Id="rId39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56" TargetMode="External"/><Relationship Id="rId21" Type="http://schemas.openxmlformats.org/officeDocument/2006/relationships/hyperlink" Target="http://www.konkoly.hu/cgi-bin/IBVS?5741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56" TargetMode="External"/><Relationship Id="rId12" Type="http://schemas.openxmlformats.org/officeDocument/2006/relationships/hyperlink" Target="http://www.bav-astro.de/sfs/BAVM_link.php?BAVMnr=102" TargetMode="External"/><Relationship Id="rId17" Type="http://schemas.openxmlformats.org/officeDocument/2006/relationships/hyperlink" Target="http://www.konkoly.hu/cgi-bin/IBVS?5676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5676" TargetMode="External"/><Relationship Id="rId29" Type="http://schemas.openxmlformats.org/officeDocument/2006/relationships/hyperlink" Target="http://www.bav-astro.de/sfs/BAVM_link.php?BAVMnr=178" TargetMode="External"/><Relationship Id="rId41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bav-astro.de/sfs/BAVM_link.php?BAVMnr=56" TargetMode="External"/><Relationship Id="rId11" Type="http://schemas.openxmlformats.org/officeDocument/2006/relationships/hyperlink" Target="http://www.bav-astro.de/sfs/BAVM_link.php?BAVMnr=102" TargetMode="External"/><Relationship Id="rId24" Type="http://schemas.openxmlformats.org/officeDocument/2006/relationships/hyperlink" Target="http://www.bav-astro.de/sfs/BAVM_link.php?BAVMnr=178" TargetMode="External"/><Relationship Id="rId32" Type="http://schemas.openxmlformats.org/officeDocument/2006/relationships/hyperlink" Target="http://www.bav-astro.de/sfs/BAVM_link.php?BAVMnr=193" TargetMode="External"/><Relationship Id="rId37" Type="http://schemas.openxmlformats.org/officeDocument/2006/relationships/hyperlink" Target="http://www.bav-astro.de/sfs/BAVM_link.php?BAVMnr=215" TargetMode="External"/><Relationship Id="rId40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ar.astro.cz/oejv/issues/oejv0003.pdf" TargetMode="External"/><Relationship Id="rId28" Type="http://schemas.openxmlformats.org/officeDocument/2006/relationships/hyperlink" Target="http://www.bav-astro.de/sfs/BAVM_link.php?BAVMnr=178" TargetMode="External"/><Relationship Id="rId36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68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186" TargetMode="External"/><Relationship Id="rId4" Type="http://schemas.openxmlformats.org/officeDocument/2006/relationships/hyperlink" Target="http://www.bav-astro.de/sfs/BAVM_link.php?BAVMnr=60" TargetMode="External"/><Relationship Id="rId9" Type="http://schemas.openxmlformats.org/officeDocument/2006/relationships/hyperlink" Target="http://www.bav-astro.de/sfs/BAVM_link.php?BAVMnr=68" TargetMode="External"/><Relationship Id="rId14" Type="http://schemas.openxmlformats.org/officeDocument/2006/relationships/hyperlink" Target="http://www.konkoly.hu/cgi-bin/IBVS?5263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bav-astro.de/sfs/BAVM_link.php?BAVMnr=212" TargetMode="External"/><Relationship Id="rId43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5"/>
  <sheetViews>
    <sheetView tabSelected="1" workbookViewId="0">
      <pane xSplit="12" ySplit="22" topLeftCell="M76" activePane="bottomRight" state="frozen"/>
      <selection pane="topRight" activeCell="M1" sqref="M1"/>
      <selection pane="bottomLeft" activeCell="A23" sqref="A23"/>
      <selection pane="bottomRight" activeCell="E4" sqref="E4"/>
    </sheetView>
  </sheetViews>
  <sheetFormatPr defaultRowHeight="12.75" x14ac:dyDescent="0.2"/>
  <cols>
    <col min="1" max="1" width="17" style="1" customWidth="1"/>
    <col min="2" max="2" width="5.85546875" style="60" customWidth="1"/>
    <col min="3" max="3" width="12.7109375" style="1" customWidth="1"/>
    <col min="4" max="4" width="10.85546875" style="1" customWidth="1"/>
    <col min="5" max="5" width="11" style="1" customWidth="1"/>
    <col min="6" max="6" width="15.85546875" style="1" customWidth="1"/>
    <col min="7" max="7" width="9.140625" style="1"/>
    <col min="8" max="8" width="8.42578125" style="1" customWidth="1"/>
    <col min="9" max="9" width="9.140625" style="1"/>
    <col min="10" max="13" width="11.5703125" style="1" customWidth="1"/>
    <col min="14" max="15" width="9.140625" style="1"/>
    <col min="16" max="16" width="10.7109375" style="1" customWidth="1"/>
    <col min="17" max="16384" width="9.140625" style="1"/>
  </cols>
  <sheetData>
    <row r="1" spans="1:6" ht="20.25" x14ac:dyDescent="0.3">
      <c r="A1" s="9" t="s">
        <v>39</v>
      </c>
      <c r="B1" s="59"/>
    </row>
    <row r="2" spans="1:6" s="64" customFormat="1" ht="12.95" customHeight="1" x14ac:dyDescent="0.2">
      <c r="A2" s="7" t="s">
        <v>15</v>
      </c>
      <c r="B2" s="63" t="s">
        <v>25</v>
      </c>
    </row>
    <row r="3" spans="1:6" s="64" customFormat="1" ht="12.95" customHeight="1" thickBot="1" x14ac:dyDescent="0.25">
      <c r="A3" s="7"/>
      <c r="B3" s="63"/>
      <c r="C3" s="65"/>
      <c r="D3" s="66"/>
    </row>
    <row r="4" spans="1:6" s="64" customFormat="1" ht="12.95" customHeight="1" thickBot="1" x14ac:dyDescent="0.25">
      <c r="A4" s="67" t="s">
        <v>16</v>
      </c>
      <c r="B4" s="68"/>
      <c r="C4" s="69">
        <v>34626.436999999998</v>
      </c>
      <c r="D4" s="70">
        <v>0.68569860299999996</v>
      </c>
      <c r="E4" s="71"/>
    </row>
    <row r="5" spans="1:6" s="64" customFormat="1" ht="12.95" customHeight="1" x14ac:dyDescent="0.2">
      <c r="A5" s="72" t="s">
        <v>397</v>
      </c>
      <c r="B5" s="63"/>
      <c r="C5" s="73">
        <v>-9.5</v>
      </c>
      <c r="D5" s="74"/>
    </row>
    <row r="6" spans="1:6" s="64" customFormat="1" ht="12.95" customHeight="1" x14ac:dyDescent="0.2">
      <c r="A6" s="67" t="s">
        <v>17</v>
      </c>
      <c r="B6" s="63"/>
    </row>
    <row r="7" spans="1:6" s="64" customFormat="1" ht="12.95" customHeight="1" x14ac:dyDescent="0.2">
      <c r="A7" s="7" t="s">
        <v>1</v>
      </c>
      <c r="B7" s="63"/>
      <c r="C7" s="64">
        <v>50402.237999999998</v>
      </c>
    </row>
    <row r="8" spans="1:6" s="64" customFormat="1" ht="12.95" customHeight="1" x14ac:dyDescent="0.2">
      <c r="A8" s="7" t="s">
        <v>10</v>
      </c>
      <c r="B8" s="63"/>
      <c r="C8" s="75">
        <v>0.68569997000000005</v>
      </c>
    </row>
    <row r="9" spans="1:6" s="64" customFormat="1" ht="12.95" customHeight="1" x14ac:dyDescent="0.2">
      <c r="A9" s="76" t="s">
        <v>45</v>
      </c>
      <c r="B9" s="77">
        <v>61</v>
      </c>
      <c r="C9" s="78" t="str">
        <f>"F"&amp;B9</f>
        <v>F61</v>
      </c>
      <c r="D9" s="78" t="str">
        <f>"G"&amp;B9</f>
        <v>G61</v>
      </c>
    </row>
    <row r="10" spans="1:6" s="64" customFormat="1" ht="12.95" customHeight="1" thickBot="1" x14ac:dyDescent="0.25">
      <c r="A10" s="7"/>
      <c r="B10" s="63"/>
      <c r="C10" s="79" t="s">
        <v>23</v>
      </c>
      <c r="D10" s="79" t="s">
        <v>24</v>
      </c>
      <c r="E10" s="66"/>
    </row>
    <row r="11" spans="1:6" s="64" customFormat="1" ht="12.95" customHeight="1" x14ac:dyDescent="0.2">
      <c r="A11" s="7" t="s">
        <v>18</v>
      </c>
      <c r="B11" s="63"/>
      <c r="C11" s="80">
        <f ca="1">INTERCEPT(INDIRECT(D9):G1005,INDIRECT(C9):$F1005)</f>
        <v>1.5786063081258808E-2</v>
      </c>
      <c r="D11" s="81">
        <f>+E11*F11</f>
        <v>1.0728004194697941E-8</v>
      </c>
      <c r="E11" s="82">
        <v>1.072800419469794</v>
      </c>
      <c r="F11" s="83">
        <v>1E-8</v>
      </c>
    </row>
    <row r="12" spans="1:6" s="64" customFormat="1" ht="12.95" customHeight="1" x14ac:dyDescent="0.2">
      <c r="A12" s="7" t="s">
        <v>19</v>
      </c>
      <c r="B12" s="84"/>
      <c r="C12" s="80">
        <f ca="1">SLOPE(INDIRECT(D9):G1005,INDIRECT(C9):$F1005)</f>
        <v>-1.2870555491358011E-5</v>
      </c>
      <c r="D12" s="81">
        <f>+E12*F12</f>
        <v>-8.550455506317018E-6</v>
      </c>
      <c r="E12" s="85">
        <v>-855.04555063170176</v>
      </c>
      <c r="F12" s="83">
        <v>1E-8</v>
      </c>
    </row>
    <row r="13" spans="1:6" s="64" customFormat="1" ht="12.95" customHeight="1" thickBot="1" x14ac:dyDescent="0.25">
      <c r="A13" s="7" t="s">
        <v>20</v>
      </c>
      <c r="B13" s="84"/>
      <c r="C13" s="86"/>
      <c r="D13" s="81">
        <f>+E13*F13</f>
        <v>-1.8065108502071135E-10</v>
      </c>
      <c r="E13" s="87">
        <v>-1.8065108502071134</v>
      </c>
      <c r="F13" s="83">
        <v>1E-10</v>
      </c>
    </row>
    <row r="14" spans="1:6" s="64" customFormat="1" ht="12.95" customHeight="1" x14ac:dyDescent="0.2">
      <c r="A14" s="7" t="s">
        <v>21</v>
      </c>
      <c r="B14" s="84"/>
      <c r="E14" s="74">
        <f>SUM(Q21:Q949)</f>
        <v>7.9704192064090872E-3</v>
      </c>
    </row>
    <row r="15" spans="1:6" s="64" customFormat="1" ht="12.95" customHeight="1" x14ac:dyDescent="0.2">
      <c r="A15" s="88" t="s">
        <v>22</v>
      </c>
      <c r="B15" s="89"/>
      <c r="C15" s="90">
        <f ca="1">(C7+C11)+(C8+C12)*INT(MAX(F21:F3533))</f>
        <v>59512.292589282821</v>
      </c>
      <c r="D15" s="91">
        <f>+C7+INT(MAX(F21:F1588))*C8+D11+D12*INT(MAX(F21:F4023))+D13*INT(MAX(F21:F4050)^2)</f>
        <v>59512.302311947496</v>
      </c>
      <c r="E15" s="80" t="s">
        <v>389</v>
      </c>
      <c r="F15" s="92">
        <v>1</v>
      </c>
    </row>
    <row r="16" spans="1:6" s="64" customFormat="1" ht="12.95" customHeight="1" x14ac:dyDescent="0.2">
      <c r="A16" s="67" t="s">
        <v>8</v>
      </c>
      <c r="B16" s="89"/>
      <c r="C16" s="93">
        <f ca="1">+C8+C12</f>
        <v>0.68568709944450867</v>
      </c>
      <c r="D16" s="94">
        <f>+C8+D12+2*D13*MAX(F21:F120)</f>
        <v>0.68568661928386254</v>
      </c>
      <c r="E16" s="80" t="s">
        <v>390</v>
      </c>
      <c r="F16" s="95">
        <f ca="1">NOW()+15018.5+$C$5/24</f>
        <v>60344.691646180552</v>
      </c>
    </row>
    <row r="17" spans="1:23" s="64" customFormat="1" ht="12.95" customHeight="1" thickBot="1" x14ac:dyDescent="0.25">
      <c r="A17" s="80" t="s">
        <v>41</v>
      </c>
      <c r="B17" s="89"/>
      <c r="C17" s="7">
        <f>COUNT(C21:C4739)</f>
        <v>70</v>
      </c>
      <c r="D17" s="7"/>
      <c r="E17" s="80" t="s">
        <v>391</v>
      </c>
      <c r="F17" s="95">
        <f ca="1">ROUND(2*(F16-$C$7)/$C$8,0)/2+F15</f>
        <v>14500.5</v>
      </c>
    </row>
    <row r="18" spans="1:23" s="64" customFormat="1" ht="12.95" customHeight="1" thickTop="1" thickBot="1" x14ac:dyDescent="0.25">
      <c r="A18" s="67" t="s">
        <v>387</v>
      </c>
      <c r="B18" s="89"/>
      <c r="C18" s="96">
        <f ca="1">+C15</f>
        <v>59512.292589282821</v>
      </c>
      <c r="D18" s="97">
        <f ca="1">C16</f>
        <v>0.68568709944450867</v>
      </c>
      <c r="E18" s="80" t="s">
        <v>392</v>
      </c>
      <c r="F18" s="91">
        <f ca="1">ROUND(2*(F16-$C$15)/$C$16,0)/2+F15</f>
        <v>1215</v>
      </c>
    </row>
    <row r="19" spans="1:23" s="64" customFormat="1" ht="12.95" customHeight="1" thickBot="1" x14ac:dyDescent="0.25">
      <c r="A19" s="67" t="s">
        <v>388</v>
      </c>
      <c r="B19" s="89"/>
      <c r="C19" s="98">
        <f>+D15</f>
        <v>59512.302311947496</v>
      </c>
      <c r="D19" s="99">
        <f>+D16</f>
        <v>0.68568661928386254</v>
      </c>
      <c r="E19" s="80" t="s">
        <v>393</v>
      </c>
      <c r="F19" s="100">
        <f ca="1">+$C$15+$C$16*F18-15018.5-$C$5/24</f>
        <v>45327.298248441235</v>
      </c>
      <c r="G19" s="64" t="s">
        <v>0</v>
      </c>
      <c r="U19" s="66"/>
    </row>
    <row r="20" spans="1:23" s="64" customFormat="1" ht="12.95" customHeight="1" thickBot="1" x14ac:dyDescent="0.25">
      <c r="A20" s="101" t="s">
        <v>11</v>
      </c>
      <c r="B20" s="102" t="s">
        <v>13</v>
      </c>
      <c r="C20" s="101" t="s">
        <v>12</v>
      </c>
      <c r="D20" s="101" t="s">
        <v>2</v>
      </c>
      <c r="E20" s="101" t="s">
        <v>7</v>
      </c>
      <c r="F20" s="101" t="s">
        <v>6</v>
      </c>
      <c r="G20" s="101" t="s">
        <v>9</v>
      </c>
      <c r="H20" s="103" t="s">
        <v>131</v>
      </c>
      <c r="I20" s="103" t="s">
        <v>132</v>
      </c>
      <c r="J20" s="103" t="s">
        <v>129</v>
      </c>
      <c r="K20" s="103" t="s">
        <v>128</v>
      </c>
      <c r="L20" s="103" t="s">
        <v>29</v>
      </c>
      <c r="M20" s="103" t="s">
        <v>30</v>
      </c>
      <c r="N20" s="101" t="s">
        <v>26</v>
      </c>
      <c r="O20" s="101" t="s">
        <v>27</v>
      </c>
      <c r="P20" s="101" t="s">
        <v>14</v>
      </c>
      <c r="T20" s="104"/>
      <c r="U20" s="105" t="s">
        <v>394</v>
      </c>
      <c r="V20" s="106" t="s">
        <v>6</v>
      </c>
      <c r="W20" s="101" t="s">
        <v>27</v>
      </c>
    </row>
    <row r="21" spans="1:23" s="64" customFormat="1" ht="12.95" customHeight="1" x14ac:dyDescent="0.2">
      <c r="A21" s="107" t="s">
        <v>34</v>
      </c>
      <c r="B21" s="108"/>
      <c r="C21" s="109">
        <v>28428.400000000001</v>
      </c>
      <c r="D21" s="109"/>
      <c r="E21" s="74">
        <f t="shared" ref="E21:E52" si="0">(C21-C$7)/C$8</f>
        <v>-32045.849440535916</v>
      </c>
      <c r="F21" s="74">
        <f t="shared" ref="F21:F54" si="1">ROUND(2*E21,0)/2</f>
        <v>-32046</v>
      </c>
      <c r="G21" s="74">
        <f t="shared" ref="G21:G57" si="2">C21-(C$7+F21*C$8)</f>
        <v>0.10323862000586814</v>
      </c>
      <c r="H21" s="74">
        <f t="shared" ref="H21:H44" si="3">G21</f>
        <v>0.10323862000586814</v>
      </c>
      <c r="J21" s="74"/>
      <c r="K21" s="74"/>
      <c r="L21" s="74"/>
      <c r="M21" s="74"/>
      <c r="N21" s="74"/>
      <c r="O21" s="110">
        <f t="shared" ref="O21:O52" si="4">+D$11+D$12*F21+D$13*F21^2</f>
        <v>8.8488977770234067E-2</v>
      </c>
      <c r="P21" s="111">
        <f t="shared" ref="P21:P52" si="5">C21-15018.5</f>
        <v>13409.900000000001</v>
      </c>
      <c r="Q21" s="64">
        <f>+(W21-G21)^2</f>
        <v>2.134738442347696E-4</v>
      </c>
      <c r="U21" s="74"/>
      <c r="V21" s="74">
        <v>-32000</v>
      </c>
      <c r="W21" s="112">
        <f>+D$11+D$12*V21+D$13*V21^2</f>
        <v>8.8627875868940359E-2</v>
      </c>
    </row>
    <row r="22" spans="1:23" s="64" customFormat="1" ht="12.95" customHeight="1" x14ac:dyDescent="0.2">
      <c r="A22" s="113" t="s">
        <v>34</v>
      </c>
      <c r="B22" s="63"/>
      <c r="C22" s="114">
        <v>28542.219000000001</v>
      </c>
      <c r="D22" s="114"/>
      <c r="E22" s="64">
        <f t="shared" si="0"/>
        <v>-31879.85993349248</v>
      </c>
      <c r="F22" s="64">
        <f t="shared" si="1"/>
        <v>-31880</v>
      </c>
      <c r="G22" s="64">
        <f t="shared" si="2"/>
        <v>9.6043600005941698E-2</v>
      </c>
      <c r="H22" s="74">
        <f t="shared" si="3"/>
        <v>9.6043600005941698E-2</v>
      </c>
      <c r="K22" s="74"/>
      <c r="L22" s="74"/>
      <c r="M22" s="74"/>
      <c r="N22" s="74"/>
      <c r="O22" s="110">
        <f t="shared" si="4"/>
        <v>8.8986620165517061E-2</v>
      </c>
      <c r="P22" s="115">
        <f t="shared" si="5"/>
        <v>13523.719000000001</v>
      </c>
      <c r="Q22" s="64">
        <f t="shared" ref="Q22:Q57" si="6">+(O22-G22)^2</f>
        <v>4.9800964468159746E-5</v>
      </c>
      <c r="V22" s="64">
        <v>-30000</v>
      </c>
      <c r="W22" s="112">
        <f t="shared" ref="W22:W40" si="7">+D$11+D$12*V22+D$13*V22^2</f>
        <v>9.392769939887452E-2</v>
      </c>
    </row>
    <row r="23" spans="1:23" s="64" customFormat="1" ht="12.95" customHeight="1" x14ac:dyDescent="0.2">
      <c r="A23" s="113" t="s">
        <v>34</v>
      </c>
      <c r="B23" s="63"/>
      <c r="C23" s="114">
        <v>29216.249</v>
      </c>
      <c r="D23" s="114"/>
      <c r="E23" s="64">
        <f t="shared" si="0"/>
        <v>-30896.878995050847</v>
      </c>
      <c r="F23" s="64">
        <f t="shared" si="1"/>
        <v>-30897</v>
      </c>
      <c r="G23" s="64">
        <f t="shared" si="2"/>
        <v>8.297309000408859E-2</v>
      </c>
      <c r="H23" s="74">
        <f t="shared" si="3"/>
        <v>8.297309000408859E-2</v>
      </c>
      <c r="K23" s="74"/>
      <c r="L23" s="74"/>
      <c r="M23" s="74"/>
      <c r="N23" s="74"/>
      <c r="O23" s="110">
        <f t="shared" si="4"/>
        <v>9.1729463103358805E-2</v>
      </c>
      <c r="P23" s="115">
        <f t="shared" si="5"/>
        <v>14197.749</v>
      </c>
      <c r="Q23" s="64">
        <f t="shared" si="6"/>
        <v>7.6674069853623067E-5</v>
      </c>
      <c r="V23" s="74">
        <v>-28000</v>
      </c>
      <c r="W23" s="112">
        <f t="shared" si="7"/>
        <v>9.7782314248643032E-2</v>
      </c>
    </row>
    <row r="24" spans="1:23" s="64" customFormat="1" ht="12.95" customHeight="1" x14ac:dyDescent="0.2">
      <c r="A24" s="113" t="s">
        <v>34</v>
      </c>
      <c r="B24" s="63"/>
      <c r="C24" s="114">
        <v>32763.41</v>
      </c>
      <c r="D24" s="114"/>
      <c r="E24" s="64">
        <f t="shared" si="0"/>
        <v>-25723.827871831461</v>
      </c>
      <c r="F24" s="64">
        <f t="shared" si="1"/>
        <v>-25724</v>
      </c>
      <c r="G24" s="64">
        <f t="shared" si="2"/>
        <v>0.1180282800050918</v>
      </c>
      <c r="H24" s="74">
        <f t="shared" si="3"/>
        <v>0.1180282800050918</v>
      </c>
      <c r="K24" s="74"/>
      <c r="L24" s="74"/>
      <c r="M24" s="74"/>
      <c r="N24" s="74"/>
      <c r="O24" s="110">
        <f t="shared" si="4"/>
        <v>0.10041073779366701</v>
      </c>
      <c r="P24" s="115">
        <f t="shared" si="5"/>
        <v>17744.91</v>
      </c>
      <c r="Q24" s="64">
        <f t="shared" si="6"/>
        <v>3.1037779357133443E-4</v>
      </c>
      <c r="V24" s="64">
        <v>-26000</v>
      </c>
      <c r="W24" s="112">
        <f t="shared" si="7"/>
        <v>0.1001917204182458</v>
      </c>
    </row>
    <row r="25" spans="1:23" s="64" customFormat="1" ht="12.95" customHeight="1" x14ac:dyDescent="0.2">
      <c r="A25" s="116" t="s">
        <v>34</v>
      </c>
      <c r="B25" s="117"/>
      <c r="C25" s="118">
        <v>33542.35</v>
      </c>
      <c r="D25" s="118"/>
      <c r="E25" s="64">
        <f t="shared" si="0"/>
        <v>-24587.849989259877</v>
      </c>
      <c r="F25" s="64">
        <f t="shared" si="1"/>
        <v>-24588</v>
      </c>
      <c r="G25" s="64">
        <f t="shared" si="2"/>
        <v>0.10286236000683857</v>
      </c>
      <c r="H25" s="74">
        <f t="shared" si="3"/>
        <v>0.10286236000683857</v>
      </c>
      <c r="K25" s="74"/>
      <c r="L25" s="74"/>
      <c r="M25" s="74"/>
      <c r="N25" s="74"/>
      <c r="O25" s="110">
        <f t="shared" si="4"/>
        <v>0.10102243049303336</v>
      </c>
      <c r="P25" s="115">
        <f t="shared" si="5"/>
        <v>18523.849999999999</v>
      </c>
      <c r="Q25" s="64">
        <f t="shared" si="6"/>
        <v>3.3853406157714794E-6</v>
      </c>
      <c r="V25" s="74">
        <v>-24000</v>
      </c>
      <c r="W25" s="112">
        <f t="shared" si="7"/>
        <v>0.1011559179076829</v>
      </c>
    </row>
    <row r="26" spans="1:23" s="64" customFormat="1" ht="12.95" customHeight="1" x14ac:dyDescent="0.2">
      <c r="A26" s="119" t="s">
        <v>34</v>
      </c>
      <c r="B26" s="89"/>
      <c r="C26" s="120">
        <v>33893.440000000002</v>
      </c>
      <c r="D26" s="120"/>
      <c r="E26" s="71">
        <f t="shared" si="0"/>
        <v>-24075.833049839559</v>
      </c>
      <c r="F26" s="64">
        <f t="shared" si="1"/>
        <v>-24076</v>
      </c>
      <c r="G26" s="64">
        <f t="shared" si="2"/>
        <v>0.1144777200097451</v>
      </c>
      <c r="H26" s="74">
        <f t="shared" si="3"/>
        <v>0.1144777200097451</v>
      </c>
      <c r="K26" s="74"/>
      <c r="L26" s="74"/>
      <c r="M26" s="74"/>
      <c r="N26" s="74"/>
      <c r="O26" s="110">
        <f t="shared" si="4"/>
        <v>0.10114569392734035</v>
      </c>
      <c r="P26" s="115">
        <f t="shared" si="5"/>
        <v>18874.940000000002</v>
      </c>
      <c r="Q26" s="64">
        <f t="shared" si="6"/>
        <v>1.7774291946192044E-4</v>
      </c>
      <c r="V26" s="64">
        <v>-22000</v>
      </c>
      <c r="W26" s="112">
        <f t="shared" si="7"/>
        <v>0.10067490671695431</v>
      </c>
    </row>
    <row r="27" spans="1:23" s="64" customFormat="1" ht="12.95" customHeight="1" x14ac:dyDescent="0.2">
      <c r="A27" s="119" t="s">
        <v>34</v>
      </c>
      <c r="B27" s="89"/>
      <c r="C27" s="120">
        <v>34150.550000000003</v>
      </c>
      <c r="D27" s="120"/>
      <c r="E27" s="71">
        <f t="shared" si="0"/>
        <v>-23700.873138436909</v>
      </c>
      <c r="F27" s="64">
        <f t="shared" si="1"/>
        <v>-23701</v>
      </c>
      <c r="G27" s="64">
        <f t="shared" si="2"/>
        <v>8.698897000431316E-2</v>
      </c>
      <c r="H27" s="74">
        <f t="shared" si="3"/>
        <v>8.698897000431316E-2</v>
      </c>
      <c r="L27" s="74"/>
      <c r="M27" s="74"/>
      <c r="N27" s="74"/>
      <c r="O27" s="110">
        <f t="shared" si="4"/>
        <v>0.10117588569585942</v>
      </c>
      <c r="P27" s="115">
        <f t="shared" si="5"/>
        <v>19132.050000000003</v>
      </c>
      <c r="Q27" s="64">
        <f t="shared" si="6"/>
        <v>2.0126857683904148E-4</v>
      </c>
      <c r="V27" s="74">
        <v>-20000</v>
      </c>
      <c r="W27" s="112">
        <f t="shared" si="7"/>
        <v>9.8748686846060044E-2</v>
      </c>
    </row>
    <row r="28" spans="1:23" s="64" customFormat="1" ht="12.95" customHeight="1" x14ac:dyDescent="0.2">
      <c r="A28" s="119" t="s">
        <v>34</v>
      </c>
      <c r="B28" s="89"/>
      <c r="C28" s="120">
        <v>34602.449999999997</v>
      </c>
      <c r="D28" s="120"/>
      <c r="E28" s="71">
        <f t="shared" si="0"/>
        <v>-23041.838546383486</v>
      </c>
      <c r="F28" s="64">
        <f t="shared" si="1"/>
        <v>-23042</v>
      </c>
      <c r="G28" s="64">
        <f t="shared" si="2"/>
        <v>0.11070874000142794</v>
      </c>
      <c r="H28" s="74">
        <f t="shared" si="3"/>
        <v>0.11070874000142794</v>
      </c>
      <c r="M28" s="74"/>
      <c r="N28" s="74"/>
      <c r="O28" s="110">
        <f t="shared" si="4"/>
        <v>0.10110584596383064</v>
      </c>
      <c r="P28" s="115">
        <f t="shared" si="5"/>
        <v>19583.949999999997</v>
      </c>
      <c r="Q28" s="64">
        <f t="shared" si="6"/>
        <v>9.2215573897321793E-5</v>
      </c>
      <c r="V28" s="64">
        <v>-18000</v>
      </c>
      <c r="W28" s="112">
        <f t="shared" si="7"/>
        <v>9.5377258295000045E-2</v>
      </c>
    </row>
    <row r="29" spans="1:23" s="64" customFormat="1" ht="12.95" customHeight="1" x14ac:dyDescent="0.2">
      <c r="A29" s="119" t="s">
        <v>34</v>
      </c>
      <c r="B29" s="89"/>
      <c r="C29" s="120">
        <v>34622.355000000003</v>
      </c>
      <c r="D29" s="120"/>
      <c r="E29" s="71">
        <f t="shared" si="0"/>
        <v>-23012.809815348239</v>
      </c>
      <c r="F29" s="64">
        <f t="shared" si="1"/>
        <v>-23013</v>
      </c>
      <c r="G29" s="64">
        <f t="shared" si="2"/>
        <v>0.130409610006609</v>
      </c>
      <c r="H29" s="74">
        <f t="shared" si="3"/>
        <v>0.130409610006609</v>
      </c>
      <c r="M29" s="74"/>
      <c r="N29" s="74"/>
      <c r="O29" s="110">
        <f t="shared" si="4"/>
        <v>0.1010991594400457</v>
      </c>
      <c r="P29" s="115">
        <f t="shared" si="5"/>
        <v>19603.855000000003</v>
      </c>
      <c r="Q29" s="64">
        <f t="shared" si="6"/>
        <v>8.5910251241495079E-4</v>
      </c>
      <c r="V29" s="74">
        <v>-16000</v>
      </c>
      <c r="W29" s="112">
        <f t="shared" si="7"/>
        <v>9.0560621063774382E-2</v>
      </c>
    </row>
    <row r="30" spans="1:23" s="64" customFormat="1" ht="12.95" customHeight="1" x14ac:dyDescent="0.2">
      <c r="A30" s="119" t="s">
        <v>34</v>
      </c>
      <c r="B30" s="89"/>
      <c r="C30" s="120">
        <v>34626.43</v>
      </c>
      <c r="D30" s="120"/>
      <c r="E30" s="71">
        <f t="shared" si="0"/>
        <v>-23006.866982945903</v>
      </c>
      <c r="F30" s="64">
        <f t="shared" si="1"/>
        <v>-23007</v>
      </c>
      <c r="G30" s="64">
        <f t="shared" si="2"/>
        <v>9.1209790007269476E-2</v>
      </c>
      <c r="H30" s="74">
        <f t="shared" si="3"/>
        <v>9.1209790007269476E-2</v>
      </c>
      <c r="M30" s="74"/>
      <c r="N30" s="74"/>
      <c r="O30" s="110">
        <f t="shared" si="4"/>
        <v>0.10109773808460371</v>
      </c>
      <c r="P30" s="115">
        <f t="shared" si="5"/>
        <v>19607.93</v>
      </c>
      <c r="Q30" s="64">
        <f t="shared" si="6"/>
        <v>9.7771517180057687E-5</v>
      </c>
      <c r="V30" s="64">
        <v>-14000</v>
      </c>
      <c r="W30" s="112">
        <f t="shared" si="7"/>
        <v>8.4298775152383029E-2</v>
      </c>
    </row>
    <row r="31" spans="1:23" s="64" customFormat="1" ht="12.95" customHeight="1" x14ac:dyDescent="0.2">
      <c r="A31" s="121" t="s">
        <v>3</v>
      </c>
      <c r="B31" s="89"/>
      <c r="C31" s="122">
        <v>34626.436999999998</v>
      </c>
      <c r="D31" s="122"/>
      <c r="E31" s="71">
        <f t="shared" si="0"/>
        <v>-23006.85677439945</v>
      </c>
      <c r="F31" s="64">
        <f t="shared" si="1"/>
        <v>-23007</v>
      </c>
      <c r="G31" s="64">
        <f t="shared" si="2"/>
        <v>9.8209790005057584E-2</v>
      </c>
      <c r="H31" s="123">
        <f t="shared" si="3"/>
        <v>9.8209790005057584E-2</v>
      </c>
      <c r="N31" s="74"/>
      <c r="O31" s="110">
        <f t="shared" si="4"/>
        <v>0.10109773808460371</v>
      </c>
      <c r="P31" s="115">
        <f t="shared" si="5"/>
        <v>19607.936999999998</v>
      </c>
      <c r="Q31" s="64">
        <f t="shared" si="6"/>
        <v>8.3402441101541281E-6</v>
      </c>
      <c r="V31" s="74">
        <v>-12000</v>
      </c>
      <c r="W31" s="112">
        <f t="shared" si="7"/>
        <v>7.6591720560825971E-2</v>
      </c>
    </row>
    <row r="32" spans="1:23" s="64" customFormat="1" ht="12.95" customHeight="1" x14ac:dyDescent="0.2">
      <c r="A32" s="119" t="s">
        <v>34</v>
      </c>
      <c r="B32" s="89"/>
      <c r="C32" s="120">
        <v>34628.485000000001</v>
      </c>
      <c r="D32" s="120"/>
      <c r="E32" s="64">
        <f t="shared" si="0"/>
        <v>-23003.870045378586</v>
      </c>
      <c r="F32" s="64">
        <f t="shared" si="1"/>
        <v>-23004</v>
      </c>
      <c r="G32" s="64">
        <f t="shared" si="2"/>
        <v>8.9109880005707964E-2</v>
      </c>
      <c r="H32" s="74">
        <f t="shared" si="3"/>
        <v>8.9109880005707964E-2</v>
      </c>
      <c r="M32" s="74"/>
      <c r="N32" s="74"/>
      <c r="O32" s="110">
        <f t="shared" si="4"/>
        <v>0.10109702252930343</v>
      </c>
      <c r="P32" s="115">
        <f t="shared" si="5"/>
        <v>19609.985000000001</v>
      </c>
      <c r="Q32" s="64">
        <f t="shared" si="6"/>
        <v>1.4369158588099066E-4</v>
      </c>
      <c r="V32" s="64">
        <v>-10000</v>
      </c>
      <c r="W32" s="112">
        <f t="shared" si="7"/>
        <v>6.743945728910325E-2</v>
      </c>
    </row>
    <row r="33" spans="1:23" s="64" customFormat="1" ht="12.95" customHeight="1" x14ac:dyDescent="0.2">
      <c r="A33" s="119" t="s">
        <v>34</v>
      </c>
      <c r="B33" s="89"/>
      <c r="C33" s="120">
        <v>34637.425000000003</v>
      </c>
      <c r="D33" s="120"/>
      <c r="E33" s="64">
        <f t="shared" si="0"/>
        <v>-22990.832273187927</v>
      </c>
      <c r="F33" s="64">
        <f t="shared" si="1"/>
        <v>-22991</v>
      </c>
      <c r="G33" s="64">
        <f t="shared" si="2"/>
        <v>0.11501027000485919</v>
      </c>
      <c r="H33" s="74">
        <f t="shared" si="3"/>
        <v>0.11501027000485919</v>
      </c>
      <c r="M33" s="74"/>
      <c r="N33" s="74"/>
      <c r="O33" s="110">
        <f t="shared" si="4"/>
        <v>0.10109388421424315</v>
      </c>
      <c r="P33" s="115">
        <f t="shared" si="5"/>
        <v>19618.925000000003</v>
      </c>
      <c r="Q33" s="64">
        <f t="shared" si="6"/>
        <v>1.9366579347326025E-4</v>
      </c>
      <c r="V33" s="74">
        <v>-8000</v>
      </c>
      <c r="W33" s="112">
        <f t="shared" si="7"/>
        <v>5.6841985337214809E-2</v>
      </c>
    </row>
    <row r="34" spans="1:23" s="64" customFormat="1" ht="12.95" customHeight="1" x14ac:dyDescent="0.2">
      <c r="A34" s="119" t="s">
        <v>34</v>
      </c>
      <c r="B34" s="89"/>
      <c r="C34" s="120">
        <v>34663.455000000002</v>
      </c>
      <c r="D34" s="120"/>
      <c r="E34" s="64">
        <f t="shared" si="0"/>
        <v>-22952.871064001934</v>
      </c>
      <c r="F34" s="64">
        <f t="shared" si="1"/>
        <v>-22953</v>
      </c>
      <c r="G34" s="64">
        <f t="shared" si="2"/>
        <v>8.8411410004482605E-2</v>
      </c>
      <c r="H34" s="74">
        <f t="shared" si="3"/>
        <v>8.8411410004482605E-2</v>
      </c>
      <c r="M34" s="74"/>
      <c r="N34" s="74"/>
      <c r="O34" s="110">
        <f t="shared" si="4"/>
        <v>0.10108436057611039</v>
      </c>
      <c r="P34" s="115">
        <f t="shared" si="5"/>
        <v>19644.955000000002</v>
      </c>
      <c r="Q34" s="64">
        <f t="shared" si="6"/>
        <v>1.6060367619092109E-4</v>
      </c>
      <c r="V34" s="64">
        <v>-6000</v>
      </c>
      <c r="W34" s="112">
        <f t="shared" si="7"/>
        <v>4.4799304705160692E-2</v>
      </c>
    </row>
    <row r="35" spans="1:23" s="64" customFormat="1" ht="12.95" customHeight="1" x14ac:dyDescent="0.2">
      <c r="A35" s="119" t="s">
        <v>34</v>
      </c>
      <c r="B35" s="89"/>
      <c r="C35" s="120">
        <v>35041.279999999999</v>
      </c>
      <c r="D35" s="120"/>
      <c r="E35" s="64">
        <f t="shared" si="0"/>
        <v>-22401.864768930933</v>
      </c>
      <c r="F35" s="64">
        <f t="shared" si="1"/>
        <v>-22402</v>
      </c>
      <c r="G35" s="64">
        <f t="shared" si="2"/>
        <v>9.2727940005715936E-2</v>
      </c>
      <c r="H35" s="74">
        <f t="shared" si="3"/>
        <v>9.2727940005715936E-2</v>
      </c>
      <c r="M35" s="74"/>
      <c r="N35" s="74"/>
      <c r="O35" s="110">
        <f t="shared" si="4"/>
        <v>0.10088763950070373</v>
      </c>
      <c r="P35" s="115">
        <f t="shared" si="5"/>
        <v>20022.78</v>
      </c>
      <c r="Q35" s="64">
        <f t="shared" si="6"/>
        <v>6.6580695848504051E-5</v>
      </c>
      <c r="V35" s="74">
        <v>-4000</v>
      </c>
      <c r="W35" s="112">
        <f t="shared" si="7"/>
        <v>3.1311415392940883E-2</v>
      </c>
    </row>
    <row r="36" spans="1:23" s="64" customFormat="1" ht="12.95" customHeight="1" x14ac:dyDescent="0.2">
      <c r="A36" s="119" t="s">
        <v>34</v>
      </c>
      <c r="B36" s="89"/>
      <c r="C36" s="120">
        <v>35195.550000000003</v>
      </c>
      <c r="D36" s="120"/>
      <c r="E36" s="64">
        <f t="shared" si="0"/>
        <v>-22176.882988634217</v>
      </c>
      <c r="F36" s="64">
        <f t="shared" si="1"/>
        <v>-22177</v>
      </c>
      <c r="G36" s="64">
        <f t="shared" si="2"/>
        <v>8.0234690009092446E-2</v>
      </c>
      <c r="H36" s="74">
        <f t="shared" si="3"/>
        <v>8.0234690009092446E-2</v>
      </c>
      <c r="M36" s="74"/>
      <c r="N36" s="74"/>
      <c r="O36" s="110">
        <f t="shared" si="4"/>
        <v>0.10077576707358853</v>
      </c>
      <c r="P36" s="115">
        <f t="shared" si="5"/>
        <v>20177.050000000003</v>
      </c>
      <c r="Q36" s="64">
        <f t="shared" si="6"/>
        <v>4.2193584696956687E-4</v>
      </c>
      <c r="V36" s="64">
        <v>-2000</v>
      </c>
      <c r="W36" s="112">
        <f t="shared" si="7"/>
        <v>1.6378317400555384E-2</v>
      </c>
    </row>
    <row r="37" spans="1:23" s="64" customFormat="1" ht="12.95" customHeight="1" x14ac:dyDescent="0.2">
      <c r="A37" s="119" t="s">
        <v>34</v>
      </c>
      <c r="B37" s="89"/>
      <c r="C37" s="120">
        <v>35313.485000000001</v>
      </c>
      <c r="D37" s="120"/>
      <c r="E37" s="64">
        <f t="shared" si="0"/>
        <v>-22004.890856273476</v>
      </c>
      <c r="F37" s="64">
        <f t="shared" si="1"/>
        <v>-22005</v>
      </c>
      <c r="G37" s="64">
        <f t="shared" si="2"/>
        <v>7.4839849999989383E-2</v>
      </c>
      <c r="H37" s="74">
        <f t="shared" si="3"/>
        <v>7.4839849999989383E-2</v>
      </c>
      <c r="M37" s="74"/>
      <c r="N37" s="74"/>
      <c r="O37" s="110">
        <f t="shared" si="4"/>
        <v>0.10067791123950422</v>
      </c>
      <c r="P37" s="115">
        <f t="shared" si="5"/>
        <v>20294.985000000001</v>
      </c>
      <c r="Q37" s="64">
        <f t="shared" si="6"/>
        <v>6.6760540861691888E-4</v>
      </c>
      <c r="V37" s="74">
        <v>0</v>
      </c>
      <c r="W37" s="112">
        <f t="shared" si="7"/>
        <v>1.0728004194697941E-8</v>
      </c>
    </row>
    <row r="38" spans="1:23" s="64" customFormat="1" ht="12.95" customHeight="1" x14ac:dyDescent="0.2">
      <c r="A38" s="119" t="s">
        <v>34</v>
      </c>
      <c r="B38" s="89"/>
      <c r="C38" s="120">
        <v>35374.519999999997</v>
      </c>
      <c r="D38" s="120"/>
      <c r="E38" s="64">
        <f t="shared" si="0"/>
        <v>-21915.879622978544</v>
      </c>
      <c r="F38" s="64">
        <f t="shared" si="1"/>
        <v>-21916</v>
      </c>
      <c r="G38" s="64">
        <f t="shared" si="2"/>
        <v>8.2542520001879893E-2</v>
      </c>
      <c r="H38" s="74">
        <f t="shared" si="3"/>
        <v>8.2542520001879893E-2</v>
      </c>
      <c r="M38" s="74"/>
      <c r="N38" s="74"/>
      <c r="O38" s="110">
        <f t="shared" si="4"/>
        <v>0.10062308019060431</v>
      </c>
      <c r="P38" s="115">
        <f t="shared" si="5"/>
        <v>20356.019999999997</v>
      </c>
      <c r="Q38" s="64">
        <f t="shared" si="6"/>
        <v>3.2690665673808646E-4</v>
      </c>
      <c r="V38" s="64">
        <v>2000</v>
      </c>
      <c r="W38" s="112">
        <f t="shared" si="7"/>
        <v>-1.7823504624712688E-2</v>
      </c>
    </row>
    <row r="39" spans="1:23" s="64" customFormat="1" ht="12.95" customHeight="1" x14ac:dyDescent="0.2">
      <c r="A39" s="119" t="s">
        <v>34</v>
      </c>
      <c r="B39" s="89"/>
      <c r="C39" s="120">
        <v>36810.394999999997</v>
      </c>
      <c r="D39" s="120"/>
      <c r="E39" s="64">
        <f t="shared" si="0"/>
        <v>-19821.851530779561</v>
      </c>
      <c r="F39" s="64">
        <f t="shared" si="1"/>
        <v>-19822</v>
      </c>
      <c r="G39" s="64">
        <f t="shared" si="2"/>
        <v>0.10180533999664476</v>
      </c>
      <c r="H39" s="74">
        <f t="shared" si="3"/>
        <v>0.10180533999664476</v>
      </c>
      <c r="M39" s="74"/>
      <c r="N39" s="74"/>
      <c r="O39" s="110">
        <f t="shared" si="4"/>
        <v>9.8507217742305267E-2</v>
      </c>
      <c r="P39" s="115">
        <f t="shared" si="5"/>
        <v>21791.894999999997</v>
      </c>
      <c r="Q39" s="64">
        <f t="shared" si="6"/>
        <v>1.0877610404569429E-5</v>
      </c>
      <c r="V39" s="74">
        <v>4000</v>
      </c>
      <c r="W39" s="112">
        <f t="shared" si="7"/>
        <v>-3.7092228657595261E-2</v>
      </c>
    </row>
    <row r="40" spans="1:23" s="64" customFormat="1" ht="12.95" customHeight="1" x14ac:dyDescent="0.2">
      <c r="A40" s="119" t="s">
        <v>34</v>
      </c>
      <c r="B40" s="89"/>
      <c r="C40" s="120">
        <v>36812.447999999997</v>
      </c>
      <c r="D40" s="120"/>
      <c r="E40" s="64">
        <f t="shared" si="0"/>
        <v>-19818.857509939808</v>
      </c>
      <c r="F40" s="64">
        <f t="shared" si="1"/>
        <v>-19819</v>
      </c>
      <c r="G40" s="64">
        <f t="shared" si="2"/>
        <v>9.7705430001951754E-2</v>
      </c>
      <c r="H40" s="74">
        <f t="shared" si="3"/>
        <v>9.7705430001951754E-2</v>
      </c>
      <c r="M40" s="74"/>
      <c r="N40" s="74"/>
      <c r="O40" s="110">
        <f t="shared" si="4"/>
        <v>9.8503049944770243E-2</v>
      </c>
      <c r="P40" s="115">
        <f t="shared" si="5"/>
        <v>21793.947999999997</v>
      </c>
      <c r="Q40" s="64">
        <f t="shared" si="6"/>
        <v>6.3619757318177023E-7</v>
      </c>
      <c r="V40" s="64">
        <v>6000</v>
      </c>
      <c r="W40" s="112">
        <f t="shared" si="7"/>
        <v>-5.7806161370643525E-2</v>
      </c>
    </row>
    <row r="41" spans="1:23" s="64" customFormat="1" ht="12.95" customHeight="1" x14ac:dyDescent="0.2">
      <c r="A41" s="119" t="s">
        <v>34</v>
      </c>
      <c r="B41" s="89"/>
      <c r="C41" s="120">
        <v>36819.328000000001</v>
      </c>
      <c r="D41" s="120"/>
      <c r="E41" s="64">
        <f t="shared" si="0"/>
        <v>-19808.823967135359</v>
      </c>
      <c r="F41" s="64">
        <f t="shared" si="1"/>
        <v>-19809</v>
      </c>
      <c r="G41" s="64">
        <f t="shared" si="2"/>
        <v>0.12070573000528384</v>
      </c>
      <c r="H41" s="74">
        <f t="shared" si="3"/>
        <v>0.12070573000528384</v>
      </c>
      <c r="M41" s="74"/>
      <c r="N41" s="74"/>
      <c r="O41" s="110">
        <f t="shared" si="4"/>
        <v>9.8489133801679077E-2</v>
      </c>
      <c r="P41" s="115">
        <f t="shared" si="5"/>
        <v>21800.828000000001</v>
      </c>
      <c r="Q41" s="64">
        <f t="shared" si="6"/>
        <v>4.9357714687402556E-4</v>
      </c>
      <c r="V41" s="74">
        <v>8000</v>
      </c>
      <c r="W41" s="112">
        <f>+D$11+D$12*V41+D$13*V41^2</f>
        <v>-7.9965302763857479E-2</v>
      </c>
    </row>
    <row r="42" spans="1:23" s="64" customFormat="1" ht="12.95" customHeight="1" x14ac:dyDescent="0.2">
      <c r="A42" s="119" t="s">
        <v>34</v>
      </c>
      <c r="B42" s="89"/>
      <c r="C42" s="120">
        <v>36847.425999999999</v>
      </c>
      <c r="D42" s="120"/>
      <c r="E42" s="64">
        <f t="shared" si="0"/>
        <v>-19767.846861652914</v>
      </c>
      <c r="F42" s="64">
        <f t="shared" si="1"/>
        <v>-19768</v>
      </c>
      <c r="G42" s="64">
        <f t="shared" si="2"/>
        <v>0.10500696000235621</v>
      </c>
      <c r="H42" s="74">
        <f t="shared" si="3"/>
        <v>0.10500696000235621</v>
      </c>
      <c r="M42" s="74"/>
      <c r="N42" s="74"/>
      <c r="O42" s="110">
        <f t="shared" si="4"/>
        <v>9.8431699873586534E-2</v>
      </c>
      <c r="P42" s="115">
        <f t="shared" si="5"/>
        <v>21828.925999999999</v>
      </c>
      <c r="Q42" s="64">
        <f t="shared" si="6"/>
        <v>4.3234045760988199E-5</v>
      </c>
      <c r="W42" s="112"/>
    </row>
    <row r="43" spans="1:23" s="64" customFormat="1" ht="12.95" customHeight="1" x14ac:dyDescent="0.2">
      <c r="A43" s="119" t="s">
        <v>34</v>
      </c>
      <c r="B43" s="89"/>
      <c r="C43" s="120">
        <v>36849.455000000002</v>
      </c>
      <c r="D43" s="120"/>
      <c r="E43" s="64">
        <f t="shared" si="0"/>
        <v>-19764.887841543867</v>
      </c>
      <c r="F43" s="64">
        <f t="shared" si="1"/>
        <v>-19765</v>
      </c>
      <c r="G43" s="64">
        <f t="shared" si="2"/>
        <v>7.6907050002773758E-2</v>
      </c>
      <c r="H43" s="74">
        <f t="shared" si="3"/>
        <v>7.6907050002773758E-2</v>
      </c>
      <c r="M43" s="74"/>
      <c r="N43" s="74"/>
      <c r="O43" s="110">
        <f t="shared" si="4"/>
        <v>9.8427473545099953E-2</v>
      </c>
      <c r="P43" s="115">
        <f t="shared" si="5"/>
        <v>21830.955000000002</v>
      </c>
      <c r="Q43" s="64">
        <f t="shared" si="6"/>
        <v>4.6312862944110751E-4</v>
      </c>
      <c r="V43" s="74"/>
    </row>
    <row r="44" spans="1:23" s="64" customFormat="1" ht="12.95" customHeight="1" x14ac:dyDescent="0.2">
      <c r="A44" s="119" t="s">
        <v>34</v>
      </c>
      <c r="B44" s="89"/>
      <c r="C44" s="120">
        <v>36902.275000000001</v>
      </c>
      <c r="D44" s="120"/>
      <c r="E44" s="64">
        <f t="shared" si="0"/>
        <v>-19687.857066699296</v>
      </c>
      <c r="F44" s="64">
        <f t="shared" si="1"/>
        <v>-19688</v>
      </c>
      <c r="G44" s="64">
        <f t="shared" si="2"/>
        <v>9.8009360001015011E-2</v>
      </c>
      <c r="H44" s="64">
        <f t="shared" si="3"/>
        <v>9.8009360001015011E-2</v>
      </c>
      <c r="I44" s="74"/>
      <c r="M44" s="74"/>
      <c r="N44" s="74"/>
      <c r="O44" s="110">
        <f t="shared" si="4"/>
        <v>9.8317884969927355E-2</v>
      </c>
      <c r="P44" s="115">
        <f t="shared" si="5"/>
        <v>21883.775000000001</v>
      </c>
      <c r="Q44" s="64">
        <f t="shared" si="6"/>
        <v>9.5187656442362654E-8</v>
      </c>
    </row>
    <row r="45" spans="1:23" s="64" customFormat="1" ht="12.95" customHeight="1" x14ac:dyDescent="0.2">
      <c r="A45" s="119" t="s">
        <v>35</v>
      </c>
      <c r="B45" s="89"/>
      <c r="C45" s="120">
        <v>47671.455999999998</v>
      </c>
      <c r="D45" s="120"/>
      <c r="E45" s="64">
        <f t="shared" si="0"/>
        <v>-3982.4735590990313</v>
      </c>
      <c r="F45" s="64">
        <f t="shared" si="1"/>
        <v>-3982.5</v>
      </c>
      <c r="G45" s="64">
        <f t="shared" si="2"/>
        <v>1.8130525000742637E-2</v>
      </c>
      <c r="I45" s="64">
        <f t="shared" ref="I45:I52" si="8">G45</f>
        <v>1.8130525000742637E-2</v>
      </c>
      <c r="M45" s="74"/>
      <c r="N45" s="74"/>
      <c r="O45" s="110">
        <f t="shared" si="4"/>
        <v>3.1187018249088452E-2</v>
      </c>
      <c r="P45" s="115">
        <f t="shared" si="5"/>
        <v>32652.955999999998</v>
      </c>
      <c r="Q45" s="64">
        <f t="shared" si="6"/>
        <v>1.7047201594409984E-4</v>
      </c>
      <c r="V45" s="74"/>
    </row>
    <row r="46" spans="1:23" s="64" customFormat="1" ht="12.95" customHeight="1" x14ac:dyDescent="0.2">
      <c r="A46" s="119" t="s">
        <v>35</v>
      </c>
      <c r="B46" s="89"/>
      <c r="C46" s="120">
        <v>47672.497000000003</v>
      </c>
      <c r="D46" s="120"/>
      <c r="E46" s="64">
        <f t="shared" si="0"/>
        <v>-3980.9554024043405</v>
      </c>
      <c r="F46" s="64">
        <f t="shared" si="1"/>
        <v>-3981</v>
      </c>
      <c r="G46" s="64">
        <f t="shared" si="2"/>
        <v>3.0580570004531182E-2</v>
      </c>
      <c r="I46" s="64">
        <f t="shared" si="8"/>
        <v>3.0580570004531182E-2</v>
      </c>
      <c r="M46" s="74"/>
      <c r="N46" s="74"/>
      <c r="O46" s="110">
        <f t="shared" si="4"/>
        <v>3.1176350488202317E-2</v>
      </c>
      <c r="P46" s="115">
        <f t="shared" si="5"/>
        <v>32653.997000000003</v>
      </c>
      <c r="Q46" s="64">
        <f t="shared" si="6"/>
        <v>3.5495438472341157E-7</v>
      </c>
    </row>
    <row r="47" spans="1:23" s="64" customFormat="1" ht="12.95" customHeight="1" x14ac:dyDescent="0.2">
      <c r="A47" s="119" t="s">
        <v>36</v>
      </c>
      <c r="B47" s="89"/>
      <c r="C47" s="120">
        <v>47753.406000000003</v>
      </c>
      <c r="D47" s="120"/>
      <c r="E47" s="64">
        <f t="shared" si="0"/>
        <v>-3862.9606473513404</v>
      </c>
      <c r="F47" s="64">
        <f t="shared" si="1"/>
        <v>-3863</v>
      </c>
      <c r="G47" s="64">
        <f t="shared" si="2"/>
        <v>2.69841100089252E-2</v>
      </c>
      <c r="I47" s="64">
        <f t="shared" si="8"/>
        <v>2.69841100089252E-2</v>
      </c>
      <c r="M47" s="74"/>
      <c r="N47" s="74"/>
      <c r="O47" s="110">
        <f t="shared" si="4"/>
        <v>3.0334605937543398E-2</v>
      </c>
      <c r="P47" s="115">
        <f t="shared" si="5"/>
        <v>32734.906000000003</v>
      </c>
      <c r="Q47" s="64">
        <f t="shared" si="6"/>
        <v>1.1225822967687123E-5</v>
      </c>
      <c r="V47" s="74"/>
    </row>
    <row r="48" spans="1:23" s="64" customFormat="1" ht="12.95" customHeight="1" x14ac:dyDescent="0.2">
      <c r="A48" s="119" t="s">
        <v>37</v>
      </c>
      <c r="B48" s="89"/>
      <c r="C48" s="120">
        <v>47769.517</v>
      </c>
      <c r="D48" s="120"/>
      <c r="E48" s="64">
        <f t="shared" si="0"/>
        <v>-3839.4649484963484</v>
      </c>
      <c r="F48" s="64">
        <f t="shared" si="1"/>
        <v>-3839.5</v>
      </c>
      <c r="G48" s="64">
        <f t="shared" si="2"/>
        <v>2.4034815003687982E-2</v>
      </c>
      <c r="I48" s="64">
        <f t="shared" si="8"/>
        <v>2.4034815003687982E-2</v>
      </c>
      <c r="M48" s="74"/>
      <c r="N48" s="74"/>
      <c r="O48" s="110">
        <f t="shared" si="4"/>
        <v>3.0166369660230691E-2</v>
      </c>
      <c r="P48" s="115">
        <f t="shared" si="5"/>
        <v>32751.017</v>
      </c>
      <c r="Q48" s="64">
        <f t="shared" si="6"/>
        <v>3.7595962506170592E-5</v>
      </c>
    </row>
    <row r="49" spans="1:22" s="64" customFormat="1" ht="12.95" customHeight="1" x14ac:dyDescent="0.2">
      <c r="A49" s="119" t="s">
        <v>36</v>
      </c>
      <c r="B49" s="89"/>
      <c r="C49" s="120">
        <v>47777.408000000003</v>
      </c>
      <c r="D49" s="120"/>
      <c r="E49" s="64">
        <f t="shared" si="0"/>
        <v>-3827.9569999106084</v>
      </c>
      <c r="F49" s="64">
        <f t="shared" si="1"/>
        <v>-3828</v>
      </c>
      <c r="G49" s="64">
        <f t="shared" si="2"/>
        <v>2.9485160004696809E-2</v>
      </c>
      <c r="I49" s="64">
        <f t="shared" si="8"/>
        <v>2.9485160004696809E-2</v>
      </c>
      <c r="M49" s="74"/>
      <c r="N49" s="74"/>
      <c r="O49" s="110">
        <f t="shared" si="4"/>
        <v>3.0083968557143601E-2</v>
      </c>
      <c r="P49" s="115">
        <f t="shared" si="5"/>
        <v>32758.908000000003</v>
      </c>
      <c r="Q49" s="64">
        <f t="shared" si="6"/>
        <v>3.5857168248342301E-7</v>
      </c>
      <c r="V49" s="74"/>
    </row>
    <row r="50" spans="1:22" s="64" customFormat="1" ht="12.95" customHeight="1" x14ac:dyDescent="0.2">
      <c r="A50" s="119" t="s">
        <v>36</v>
      </c>
      <c r="B50" s="89"/>
      <c r="C50" s="120">
        <v>47788.379000000001</v>
      </c>
      <c r="D50" s="120"/>
      <c r="E50" s="64">
        <f t="shared" si="0"/>
        <v>-3811.9572908833534</v>
      </c>
      <c r="F50" s="64">
        <f t="shared" si="1"/>
        <v>-3812</v>
      </c>
      <c r="G50" s="64">
        <f t="shared" si="2"/>
        <v>2.9285640004673041E-2</v>
      </c>
      <c r="I50" s="64">
        <f t="shared" si="8"/>
        <v>2.9285640004673041E-2</v>
      </c>
      <c r="M50" s="74"/>
      <c r="N50" s="74"/>
      <c r="O50" s="110">
        <f t="shared" si="4"/>
        <v>2.9969244057675461E-2</v>
      </c>
      <c r="P50" s="115">
        <f t="shared" si="5"/>
        <v>32769.879000000001</v>
      </c>
      <c r="Q50" s="64">
        <f t="shared" si="6"/>
        <v>4.6731450128133447E-7</v>
      </c>
    </row>
    <row r="51" spans="1:22" s="64" customFormat="1" ht="12.95" customHeight="1" x14ac:dyDescent="0.2">
      <c r="A51" s="119" t="s">
        <v>36</v>
      </c>
      <c r="B51" s="89"/>
      <c r="C51" s="120">
        <v>47843.235999999997</v>
      </c>
      <c r="D51" s="120"/>
      <c r="E51" s="64">
        <f t="shared" si="0"/>
        <v>-3731.9558290195059</v>
      </c>
      <c r="F51" s="64">
        <f t="shared" si="1"/>
        <v>-3732</v>
      </c>
      <c r="G51" s="64">
        <f t="shared" si="2"/>
        <v>3.0288039997685701E-2</v>
      </c>
      <c r="I51" s="64">
        <f t="shared" si="8"/>
        <v>3.0288039997685701E-2</v>
      </c>
      <c r="M51" s="74"/>
      <c r="N51" s="74"/>
      <c r="O51" s="110">
        <f t="shared" si="4"/>
        <v>2.9394234160001798E-2</v>
      </c>
      <c r="P51" s="115">
        <f t="shared" si="5"/>
        <v>32824.735999999997</v>
      </c>
      <c r="Q51" s="64">
        <f t="shared" si="6"/>
        <v>7.9888887547782248E-7</v>
      </c>
      <c r="V51" s="74"/>
    </row>
    <row r="52" spans="1:22" s="64" customFormat="1" ht="12.95" customHeight="1" x14ac:dyDescent="0.2">
      <c r="A52" s="119" t="s">
        <v>37</v>
      </c>
      <c r="B52" s="89"/>
      <c r="C52" s="120">
        <v>48128.485000000001</v>
      </c>
      <c r="D52" s="120"/>
      <c r="E52" s="64">
        <f t="shared" si="0"/>
        <v>-3315.959019219436</v>
      </c>
      <c r="F52" s="64">
        <f t="shared" si="1"/>
        <v>-3316</v>
      </c>
      <c r="G52" s="64">
        <f t="shared" si="2"/>
        <v>2.8100520001316909E-2</v>
      </c>
      <c r="I52" s="64">
        <f t="shared" si="8"/>
        <v>2.8100520001316909E-2</v>
      </c>
      <c r="M52" s="74"/>
      <c r="N52" s="74"/>
      <c r="O52" s="110">
        <f t="shared" si="4"/>
        <v>2.6366907869819926E-2</v>
      </c>
      <c r="P52" s="115">
        <f t="shared" si="5"/>
        <v>33109.985000000001</v>
      </c>
      <c r="Q52" s="64">
        <f t="shared" si="6"/>
        <v>3.0054110224735105E-6</v>
      </c>
    </row>
    <row r="53" spans="1:22" s="64" customFormat="1" ht="12.95" customHeight="1" x14ac:dyDescent="0.2">
      <c r="A53" s="119" t="s">
        <v>38</v>
      </c>
      <c r="B53" s="89"/>
      <c r="C53" s="120">
        <v>49125.482600000003</v>
      </c>
      <c r="D53" s="120"/>
      <c r="E53" s="64">
        <f t="shared" ref="E53:E87" si="9">(C53-C$7)/C$8</f>
        <v>-1861.9738309161578</v>
      </c>
      <c r="F53" s="64">
        <f t="shared" si="1"/>
        <v>-1862</v>
      </c>
      <c r="G53" s="64">
        <f t="shared" si="2"/>
        <v>1.7944140003237408E-2</v>
      </c>
      <c r="J53" s="64">
        <f>G53</f>
        <v>1.7944140003237408E-2</v>
      </c>
      <c r="M53" s="74"/>
      <c r="N53" s="74"/>
      <c r="O53" s="110">
        <f t="shared" ref="O53:O87" si="10">+D$11+D$12*F53+D$13*F53^2</f>
        <v>1.5294633620351931E-2</v>
      </c>
      <c r="P53" s="115">
        <f t="shared" ref="P53:P87" si="11">C53-15018.5</f>
        <v>34106.982600000003</v>
      </c>
      <c r="Q53" s="64">
        <f t="shared" si="6"/>
        <v>7.0198840729508793E-6</v>
      </c>
      <c r="V53" s="74"/>
    </row>
    <row r="54" spans="1:22" s="64" customFormat="1" ht="12.95" customHeight="1" x14ac:dyDescent="0.2">
      <c r="A54" s="119" t="s">
        <v>38</v>
      </c>
      <c r="B54" s="89"/>
      <c r="C54" s="120">
        <v>49311.3073</v>
      </c>
      <c r="D54" s="120"/>
      <c r="E54" s="64">
        <f t="shared" si="9"/>
        <v>-1590.973819059664</v>
      </c>
      <c r="F54" s="64">
        <f t="shared" si="1"/>
        <v>-1591</v>
      </c>
      <c r="G54" s="64">
        <f t="shared" si="2"/>
        <v>1.7952270005480386E-2</v>
      </c>
      <c r="J54" s="64">
        <f>G54</f>
        <v>1.7952270005480386E-2</v>
      </c>
      <c r="M54" s="74"/>
      <c r="N54" s="74"/>
      <c r="O54" s="110">
        <f t="shared" si="10"/>
        <v>1.3146506779412259E-2</v>
      </c>
      <c r="P54" s="115">
        <f t="shared" si="11"/>
        <v>34292.8073</v>
      </c>
      <c r="Q54" s="64">
        <f t="shared" si="6"/>
        <v>2.3095360185028733E-5</v>
      </c>
    </row>
    <row r="55" spans="1:22" s="64" customFormat="1" ht="12.95" customHeight="1" x14ac:dyDescent="0.2">
      <c r="A55" s="124" t="s">
        <v>4</v>
      </c>
      <c r="B55" s="89" t="s">
        <v>32</v>
      </c>
      <c r="C55" s="122">
        <v>50402.237999999998</v>
      </c>
      <c r="D55" s="122"/>
      <c r="E55" s="64">
        <f t="shared" si="9"/>
        <v>0</v>
      </c>
      <c r="F55" s="64">
        <v>0</v>
      </c>
      <c r="G55" s="64">
        <f t="shared" si="2"/>
        <v>0</v>
      </c>
      <c r="J55" s="64">
        <f>G55</f>
        <v>0</v>
      </c>
      <c r="M55" s="74"/>
      <c r="N55" s="74"/>
      <c r="O55" s="110">
        <f t="shared" si="10"/>
        <v>1.0728004194697941E-8</v>
      </c>
      <c r="P55" s="115">
        <f t="shared" si="11"/>
        <v>35383.737999999998</v>
      </c>
      <c r="Q55" s="64">
        <f t="shared" si="6"/>
        <v>1.1509007400145661E-16</v>
      </c>
      <c r="V55" s="74"/>
    </row>
    <row r="56" spans="1:22" s="64" customFormat="1" ht="12.95" customHeight="1" x14ac:dyDescent="0.2">
      <c r="A56" s="124" t="s">
        <v>4</v>
      </c>
      <c r="B56" s="89" t="s">
        <v>32</v>
      </c>
      <c r="C56" s="122">
        <v>50428.2935</v>
      </c>
      <c r="D56" s="122"/>
      <c r="E56" s="64">
        <f t="shared" si="9"/>
        <v>37.998397462380247</v>
      </c>
      <c r="F56" s="64">
        <v>38</v>
      </c>
      <c r="G56" s="64">
        <f t="shared" si="2"/>
        <v>-1.0988599970005453E-3</v>
      </c>
      <c r="J56" s="64">
        <f>G56</f>
        <v>-1.0988599970005453E-3</v>
      </c>
      <c r="M56" s="74"/>
      <c r="N56" s="74"/>
      <c r="O56" s="110">
        <f t="shared" si="10"/>
        <v>-3.2516744140262193E-4</v>
      </c>
      <c r="P56" s="115">
        <f t="shared" si="11"/>
        <v>35409.7935</v>
      </c>
      <c r="Q56" s="64">
        <f t="shared" si="6"/>
        <v>5.9860017058764569E-7</v>
      </c>
    </row>
    <row r="57" spans="1:22" s="64" customFormat="1" ht="12.95" customHeight="1" x14ac:dyDescent="0.2">
      <c r="A57" s="124" t="s">
        <v>5</v>
      </c>
      <c r="B57" s="89" t="s">
        <v>32</v>
      </c>
      <c r="C57" s="122">
        <v>50718.344599999997</v>
      </c>
      <c r="D57" s="122"/>
      <c r="E57" s="64">
        <f t="shared" si="9"/>
        <v>460.99841596901211</v>
      </c>
      <c r="F57" s="64">
        <f t="shared" ref="F57:F87" si="12">ROUND(2*E57,0)/2</f>
        <v>461</v>
      </c>
      <c r="G57" s="64">
        <f t="shared" si="2"/>
        <v>-1.086169999325648E-3</v>
      </c>
      <c r="J57" s="64">
        <f>G57</f>
        <v>-1.086169999325648E-3</v>
      </c>
      <c r="M57" s="74"/>
      <c r="N57" s="74"/>
      <c r="O57" s="110">
        <f t="shared" si="10"/>
        <v>-3.9801414096476365E-3</v>
      </c>
      <c r="P57" s="115">
        <f t="shared" si="11"/>
        <v>35699.844599999997</v>
      </c>
      <c r="Q57" s="64">
        <f t="shared" si="6"/>
        <v>8.3750705237610392E-6</v>
      </c>
      <c r="V57" s="74"/>
    </row>
    <row r="58" spans="1:22" s="64" customFormat="1" ht="12.95" customHeight="1" x14ac:dyDescent="0.2">
      <c r="A58" s="124" t="s">
        <v>28</v>
      </c>
      <c r="B58" s="89"/>
      <c r="C58" s="122">
        <v>51379.381300000001</v>
      </c>
      <c r="D58" s="122">
        <v>3.0999999999999999E-3</v>
      </c>
      <c r="E58" s="64">
        <f t="shared" si="9"/>
        <v>1425.0303963116744</v>
      </c>
      <c r="F58" s="64">
        <f t="shared" si="12"/>
        <v>1425</v>
      </c>
      <c r="M58" s="74"/>
      <c r="N58" s="74"/>
      <c r="O58" s="110">
        <f t="shared" si="10"/>
        <v>-1.2551222978017739E-2</v>
      </c>
      <c r="P58" s="115">
        <f t="shared" si="11"/>
        <v>36360.881300000001</v>
      </c>
      <c r="U58" s="125">
        <v>2.0842750003794208E-2</v>
      </c>
    </row>
    <row r="59" spans="1:22" s="64" customFormat="1" ht="12.95" customHeight="1" x14ac:dyDescent="0.2">
      <c r="A59" s="126" t="s">
        <v>46</v>
      </c>
      <c r="B59" s="127" t="s">
        <v>32</v>
      </c>
      <c r="C59" s="126">
        <v>51782.535830000001</v>
      </c>
      <c r="D59" s="126">
        <v>2.7000000000000001E-3</v>
      </c>
      <c r="E59" s="64">
        <f t="shared" si="9"/>
        <v>2012.9763604918971</v>
      </c>
      <c r="F59" s="64">
        <f t="shared" si="12"/>
        <v>2013</v>
      </c>
      <c r="G59" s="64">
        <f t="shared" ref="G59:G65" si="13">C59-(C$7+F59*C$8)</f>
        <v>-1.6209609995712526E-2</v>
      </c>
      <c r="K59" s="64">
        <f>G59</f>
        <v>-1.6209609995712526E-2</v>
      </c>
      <c r="M59" s="74"/>
      <c r="N59" s="74">
        <f t="shared" ref="N59:N67" ca="1" si="14">+C$11+C$12*F59</f>
        <v>-1.0122365122844867E-2</v>
      </c>
      <c r="O59" s="110">
        <f t="shared" si="10"/>
        <v>-1.7944084932749255E-2</v>
      </c>
      <c r="P59" s="115">
        <f t="shared" si="11"/>
        <v>36764.035830000001</v>
      </c>
      <c r="Q59" s="64">
        <f t="shared" ref="Q59:Q65" si="15">+(O59-G59)^2</f>
        <v>3.0084033072085659E-6</v>
      </c>
      <c r="V59" s="74"/>
    </row>
    <row r="60" spans="1:22" s="64" customFormat="1" ht="12.95" customHeight="1" x14ac:dyDescent="0.2">
      <c r="A60" s="126" t="s">
        <v>46</v>
      </c>
      <c r="B60" s="127" t="s">
        <v>32</v>
      </c>
      <c r="C60" s="126">
        <v>52140.466979999997</v>
      </c>
      <c r="D60" s="126">
        <v>4.4999999999999997E-3</v>
      </c>
      <c r="E60" s="64">
        <f t="shared" si="9"/>
        <v>2534.9701852838052</v>
      </c>
      <c r="F60" s="64">
        <f t="shared" si="12"/>
        <v>2535</v>
      </c>
      <c r="G60" s="64">
        <f t="shared" si="13"/>
        <v>-2.0443950001208577E-2</v>
      </c>
      <c r="K60" s="64">
        <f>G60</f>
        <v>-2.0443950001208577E-2</v>
      </c>
      <c r="M60" s="74"/>
      <c r="N60" s="74">
        <f t="shared" ca="1" si="14"/>
        <v>-1.6840795089333747E-2</v>
      </c>
      <c r="O60" s="110">
        <f t="shared" si="10"/>
        <v>-2.283629849934667E-2</v>
      </c>
      <c r="P60" s="115">
        <f t="shared" si="11"/>
        <v>37121.966979999997</v>
      </c>
      <c r="Q60" s="64">
        <f t="shared" si="15"/>
        <v>5.723331336543586E-6</v>
      </c>
    </row>
    <row r="61" spans="1:22" s="64" customFormat="1" ht="12.95" customHeight="1" x14ac:dyDescent="0.2">
      <c r="A61" s="7" t="s">
        <v>40</v>
      </c>
      <c r="B61" s="128" t="s">
        <v>32</v>
      </c>
      <c r="C61" s="129">
        <v>52858.3825</v>
      </c>
      <c r="D61" s="129">
        <v>2.0000000000000001E-4</v>
      </c>
      <c r="E61" s="64">
        <f t="shared" si="9"/>
        <v>3581.9521765474219</v>
      </c>
      <c r="F61" s="64">
        <f t="shared" si="12"/>
        <v>3582</v>
      </c>
      <c r="G61" s="64">
        <f t="shared" si="13"/>
        <v>-3.2792539997899439E-2</v>
      </c>
      <c r="K61" s="64">
        <f>G61</f>
        <v>-3.2792539997899439E-2</v>
      </c>
      <c r="M61" s="74"/>
      <c r="N61" s="74">
        <f t="shared" ca="1" si="14"/>
        <v>-3.0316266688785586E-2</v>
      </c>
      <c r="O61" s="110">
        <f t="shared" si="10"/>
        <v>-3.2945605107824648E-2</v>
      </c>
      <c r="P61" s="115">
        <f t="shared" si="11"/>
        <v>37839.8825</v>
      </c>
      <c r="Q61" s="64">
        <f t="shared" si="15"/>
        <v>2.3428927876416213E-8</v>
      </c>
      <c r="V61" s="74"/>
    </row>
    <row r="62" spans="1:22" s="64" customFormat="1" ht="12.95" customHeight="1" x14ac:dyDescent="0.2">
      <c r="A62" s="6" t="s">
        <v>31</v>
      </c>
      <c r="B62" s="89"/>
      <c r="C62" s="120">
        <v>52900.209600000002</v>
      </c>
      <c r="D62" s="120">
        <v>2.0000000000000001E-4</v>
      </c>
      <c r="E62" s="64">
        <f t="shared" si="9"/>
        <v>3642.9513041979631</v>
      </c>
      <c r="F62" s="64">
        <f t="shared" si="12"/>
        <v>3643</v>
      </c>
      <c r="G62" s="64">
        <f t="shared" si="13"/>
        <v>-3.3390709999366663E-2</v>
      </c>
      <c r="K62" s="64">
        <f>G62</f>
        <v>-3.3390709999366663E-2</v>
      </c>
      <c r="M62" s="74"/>
      <c r="N62" s="74">
        <f t="shared" ca="1" si="14"/>
        <v>-3.1101370573758426E-2</v>
      </c>
      <c r="O62" s="110">
        <f t="shared" si="10"/>
        <v>-3.3546800343155735E-2</v>
      </c>
      <c r="P62" s="115">
        <f t="shared" si="11"/>
        <v>37881.709600000002</v>
      </c>
      <c r="Q62" s="64">
        <f t="shared" si="15"/>
        <v>2.4364195424190442E-8</v>
      </c>
    </row>
    <row r="63" spans="1:22" s="64" customFormat="1" ht="12.95" customHeight="1" x14ac:dyDescent="0.2">
      <c r="A63" s="7" t="s">
        <v>33</v>
      </c>
      <c r="B63" s="128"/>
      <c r="C63" s="120">
        <v>52901.5887</v>
      </c>
      <c r="D63" s="120">
        <v>2.0000000000000001E-4</v>
      </c>
      <c r="E63" s="64">
        <f t="shared" si="9"/>
        <v>3644.9625336865665</v>
      </c>
      <c r="F63" s="64">
        <f t="shared" si="12"/>
        <v>3645</v>
      </c>
      <c r="G63" s="64">
        <f t="shared" si="13"/>
        <v>-2.5690649999887682E-2</v>
      </c>
      <c r="J63" s="64">
        <f>G63</f>
        <v>-2.5690649999887682E-2</v>
      </c>
      <c r="M63" s="74"/>
      <c r="N63" s="74">
        <f t="shared" ca="1" si="14"/>
        <v>-3.1127111684741145E-2</v>
      </c>
      <c r="O63" s="110">
        <f t="shared" si="10"/>
        <v>-3.3566534424383634E-2</v>
      </c>
      <c r="P63" s="115">
        <f t="shared" si="11"/>
        <v>37883.0887</v>
      </c>
      <c r="Q63" s="64">
        <f t="shared" si="15"/>
        <v>6.2029555468017935E-5</v>
      </c>
      <c r="V63" s="74"/>
    </row>
    <row r="64" spans="1:22" s="64" customFormat="1" ht="12.95" customHeight="1" x14ac:dyDescent="0.2">
      <c r="A64" s="7" t="s">
        <v>40</v>
      </c>
      <c r="B64" s="128" t="s">
        <v>32</v>
      </c>
      <c r="C64" s="129">
        <v>53222.483500000002</v>
      </c>
      <c r="D64" s="129">
        <v>1E-4</v>
      </c>
      <c r="E64" s="64">
        <f t="shared" si="9"/>
        <v>4112.9438871056163</v>
      </c>
      <c r="F64" s="64">
        <f t="shared" si="12"/>
        <v>4113</v>
      </c>
      <c r="G64" s="64">
        <f t="shared" si="13"/>
        <v>-3.8476609995996114E-2</v>
      </c>
      <c r="K64" s="64">
        <f>G64</f>
        <v>-3.8476609995996114E-2</v>
      </c>
      <c r="M64" s="74"/>
      <c r="N64" s="74">
        <f t="shared" ca="1" si="14"/>
        <v>-3.7150531654696693E-2</v>
      </c>
      <c r="O64" s="110">
        <f t="shared" si="10"/>
        <v>-3.822404544437244E-2</v>
      </c>
      <c r="P64" s="115">
        <f t="shared" si="11"/>
        <v>38203.983500000002</v>
      </c>
      <c r="Q64" s="64">
        <f t="shared" si="15"/>
        <v>6.3788852736867533E-8</v>
      </c>
    </row>
    <row r="65" spans="1:22" s="64" customFormat="1" ht="12.95" customHeight="1" x14ac:dyDescent="0.2">
      <c r="A65" s="130" t="s">
        <v>395</v>
      </c>
      <c r="B65" s="131" t="s">
        <v>32</v>
      </c>
      <c r="C65" s="130">
        <v>53290.367200000001</v>
      </c>
      <c r="D65" s="130" t="s">
        <v>132</v>
      </c>
      <c r="E65" s="64">
        <f t="shared" si="9"/>
        <v>4211.9430164186861</v>
      </c>
      <c r="F65" s="64">
        <f t="shared" si="12"/>
        <v>4212</v>
      </c>
      <c r="G65" s="64">
        <f t="shared" si="13"/>
        <v>-3.9073640000424348E-2</v>
      </c>
      <c r="K65" s="64">
        <f>G65</f>
        <v>-3.9073640000424348E-2</v>
      </c>
      <c r="M65" s="74"/>
      <c r="N65" s="74">
        <f t="shared" ca="1" si="14"/>
        <v>-3.8424716648341135E-2</v>
      </c>
      <c r="O65" s="110">
        <f t="shared" si="10"/>
        <v>-3.9219428647494767E-2</v>
      </c>
      <c r="P65" s="115">
        <f t="shared" si="11"/>
        <v>38271.867200000001</v>
      </c>
      <c r="Q65" s="64">
        <f t="shared" si="15"/>
        <v>2.1254329614623172E-8</v>
      </c>
      <c r="V65" s="74"/>
    </row>
    <row r="66" spans="1:22" s="64" customFormat="1" ht="12.95" customHeight="1" x14ac:dyDescent="0.2">
      <c r="A66" s="130" t="s">
        <v>396</v>
      </c>
      <c r="B66" s="131" t="s">
        <v>32</v>
      </c>
      <c r="C66" s="130">
        <v>53532.447</v>
      </c>
      <c r="D66" s="130" t="s">
        <v>132</v>
      </c>
      <c r="E66" s="64">
        <f t="shared" si="9"/>
        <v>4564.9834285394563</v>
      </c>
      <c r="F66" s="64">
        <f t="shared" si="12"/>
        <v>4565</v>
      </c>
      <c r="M66" s="74"/>
      <c r="N66" s="74">
        <f t="shared" ca="1" si="14"/>
        <v>-4.2968022736790512E-2</v>
      </c>
      <c r="O66" s="110">
        <f t="shared" si="10"/>
        <v>-4.2797447265573732E-2</v>
      </c>
      <c r="P66" s="115">
        <f t="shared" si="11"/>
        <v>38513.947</v>
      </c>
      <c r="Q66" s="64">
        <f>+(O66-U66)^2</f>
        <v>9.8812133156427149E-4</v>
      </c>
      <c r="U66" s="64">
        <f>C66-(C$7+F66*C$8)</f>
        <v>-1.1363049998180941E-2</v>
      </c>
    </row>
    <row r="67" spans="1:22" s="64" customFormat="1" ht="12.95" customHeight="1" x14ac:dyDescent="0.2">
      <c r="A67" s="130" t="s">
        <v>396</v>
      </c>
      <c r="B67" s="131" t="s">
        <v>32</v>
      </c>
      <c r="C67" s="130">
        <v>53578.383999999998</v>
      </c>
      <c r="D67" s="130" t="s">
        <v>132</v>
      </c>
      <c r="E67" s="64">
        <f t="shared" si="9"/>
        <v>4631.9762854882438</v>
      </c>
      <c r="F67" s="64">
        <f t="shared" si="12"/>
        <v>4632</v>
      </c>
      <c r="M67" s="74"/>
      <c r="N67" s="74">
        <f t="shared" ca="1" si="14"/>
        <v>-4.3830349954711495E-2</v>
      </c>
      <c r="O67" s="110">
        <f t="shared" si="10"/>
        <v>-4.3481644802435646E-2</v>
      </c>
      <c r="P67" s="115">
        <f t="shared" si="11"/>
        <v>38559.883999999998</v>
      </c>
      <c r="Q67" s="64">
        <f>+(O67-U67)^2</f>
        <v>7.4096132579704575E-4</v>
      </c>
      <c r="U67" s="64">
        <f>C67-(C$7+F67*C$8)</f>
        <v>-1.6261040000244975E-2</v>
      </c>
      <c r="V67" s="74"/>
    </row>
    <row r="68" spans="1:22" s="64" customFormat="1" ht="12.95" customHeight="1" x14ac:dyDescent="0.2">
      <c r="A68" s="7" t="s">
        <v>42</v>
      </c>
      <c r="B68" s="89" t="s">
        <v>43</v>
      </c>
      <c r="C68" s="120">
        <v>53620.521800000002</v>
      </c>
      <c r="D68" s="120">
        <v>6.9999999999999999E-4</v>
      </c>
      <c r="E68" s="64">
        <f t="shared" si="9"/>
        <v>4693.4285267651458</v>
      </c>
      <c r="F68" s="64">
        <f t="shared" si="12"/>
        <v>4693.5</v>
      </c>
      <c r="G68" s="64">
        <f t="shared" ref="G68:G87" si="16">C68-(C$7+F68*C$8)</f>
        <v>-4.9009194997779559E-2</v>
      </c>
      <c r="J68" s="64">
        <f t="shared" ref="J68:J75" si="17">G68</f>
        <v>-4.9009194997779559E-2</v>
      </c>
      <c r="M68" s="74"/>
      <c r="N68" s="74">
        <f t="shared" ref="N68:N75" ca="1" si="18">+C$11+C$12*F68</f>
        <v>-4.4621889117430015E-2</v>
      </c>
      <c r="O68" s="110">
        <f t="shared" si="10"/>
        <v>-4.4111104510215819E-2</v>
      </c>
      <c r="P68" s="115">
        <f t="shared" si="11"/>
        <v>38602.021800000002</v>
      </c>
      <c r="Q68" s="64">
        <f t="shared" ref="Q68:Q87" si="19">+(O68-G68)^2</f>
        <v>2.3991290424362396E-5</v>
      </c>
    </row>
    <row r="69" spans="1:22" s="64" customFormat="1" ht="12.95" customHeight="1" x14ac:dyDescent="0.2">
      <c r="A69" s="7" t="s">
        <v>42</v>
      </c>
      <c r="B69" s="128"/>
      <c r="C69" s="120">
        <v>53621.558299999997</v>
      </c>
      <c r="D69" s="120">
        <v>4.0000000000000002E-4</v>
      </c>
      <c r="E69" s="64">
        <f t="shared" si="9"/>
        <v>4694.9401208228128</v>
      </c>
      <c r="F69" s="64">
        <f t="shared" si="12"/>
        <v>4695</v>
      </c>
      <c r="G69" s="64">
        <f t="shared" si="16"/>
        <v>-4.1059150004002731E-2</v>
      </c>
      <c r="J69" s="64">
        <f t="shared" si="17"/>
        <v>-4.1059150004002731E-2</v>
      </c>
      <c r="M69" s="74"/>
      <c r="N69" s="74">
        <f t="shared" ca="1" si="18"/>
        <v>-4.4641194950667054E-2</v>
      </c>
      <c r="O69" s="110">
        <f t="shared" si="10"/>
        <v>-4.4126474257542875E-2</v>
      </c>
      <c r="P69" s="115">
        <f t="shared" si="11"/>
        <v>38603.058299999997</v>
      </c>
      <c r="Q69" s="64">
        <f t="shared" si="19"/>
        <v>9.4084780763555983E-6</v>
      </c>
      <c r="V69" s="74"/>
    </row>
    <row r="70" spans="1:22" s="64" customFormat="1" ht="12.95" customHeight="1" x14ac:dyDescent="0.2">
      <c r="A70" s="7" t="s">
        <v>42</v>
      </c>
      <c r="B70" s="128"/>
      <c r="C70" s="120">
        <v>53637.323900000003</v>
      </c>
      <c r="D70" s="120">
        <v>2E-3</v>
      </c>
      <c r="E70" s="64">
        <f t="shared" si="9"/>
        <v>4717.9321008283041</v>
      </c>
      <c r="F70" s="64">
        <f t="shared" si="12"/>
        <v>4718</v>
      </c>
      <c r="G70" s="64">
        <f t="shared" si="16"/>
        <v>-4.6558459995139856E-2</v>
      </c>
      <c r="J70" s="64">
        <f t="shared" si="17"/>
        <v>-4.6558459995139856E-2</v>
      </c>
      <c r="M70" s="74"/>
      <c r="N70" s="74">
        <f t="shared" ca="1" si="18"/>
        <v>-4.4937217726968286E-2</v>
      </c>
      <c r="O70" s="110">
        <f t="shared" si="10"/>
        <v>-4.436224551344406E-2</v>
      </c>
      <c r="P70" s="115">
        <f t="shared" si="11"/>
        <v>38618.823900000003</v>
      </c>
      <c r="Q70" s="64">
        <f t="shared" si="19"/>
        <v>4.8233580496103347E-6</v>
      </c>
    </row>
    <row r="71" spans="1:22" s="64" customFormat="1" ht="12.95" customHeight="1" x14ac:dyDescent="0.2">
      <c r="A71" s="7" t="s">
        <v>42</v>
      </c>
      <c r="B71" s="89" t="s">
        <v>43</v>
      </c>
      <c r="C71" s="120">
        <v>53660.301200000002</v>
      </c>
      <c r="D71" s="120">
        <v>2.5000000000000001E-3</v>
      </c>
      <c r="E71" s="64">
        <f t="shared" si="9"/>
        <v>4751.4413629039591</v>
      </c>
      <c r="F71" s="64">
        <f t="shared" si="12"/>
        <v>4751.5</v>
      </c>
      <c r="G71" s="64">
        <f t="shared" si="16"/>
        <v>-4.0207454992923886E-2</v>
      </c>
      <c r="J71" s="64">
        <f t="shared" si="17"/>
        <v>-4.0207454992923886E-2</v>
      </c>
      <c r="N71" s="74">
        <f t="shared" ca="1" si="18"/>
        <v>-4.5368381335928777E-2</v>
      </c>
      <c r="O71" s="110">
        <f t="shared" si="10"/>
        <v>-4.4705993400467409E-2</v>
      </c>
      <c r="P71" s="115">
        <f t="shared" si="11"/>
        <v>38641.801200000002</v>
      </c>
      <c r="Q71" s="64">
        <f t="shared" si="19"/>
        <v>2.0236847804144218E-5</v>
      </c>
      <c r="V71" s="74"/>
    </row>
    <row r="72" spans="1:22" s="64" customFormat="1" ht="12.95" customHeight="1" x14ac:dyDescent="0.2">
      <c r="A72" s="7" t="s">
        <v>42</v>
      </c>
      <c r="B72" s="128"/>
      <c r="C72" s="120">
        <v>53661.322200000002</v>
      </c>
      <c r="D72" s="120">
        <v>8.9999999999999998E-4</v>
      </c>
      <c r="E72" s="64">
        <f t="shared" si="9"/>
        <v>4752.9303523230492</v>
      </c>
      <c r="F72" s="64">
        <f t="shared" si="12"/>
        <v>4753</v>
      </c>
      <c r="G72" s="64">
        <f t="shared" si="16"/>
        <v>-4.7757409993209876E-2</v>
      </c>
      <c r="J72" s="64">
        <f t="shared" si="17"/>
        <v>-4.7757409993209876E-2</v>
      </c>
      <c r="N72" s="74">
        <f t="shared" ca="1" si="18"/>
        <v>-4.5387687169165816E-2</v>
      </c>
      <c r="O72" s="110">
        <f t="shared" si="10"/>
        <v>-4.4721394581083249E-2</v>
      </c>
      <c r="P72" s="115">
        <f t="shared" si="11"/>
        <v>38642.822200000002</v>
      </c>
      <c r="Q72" s="64">
        <f t="shared" si="19"/>
        <v>9.2173895826704161E-6</v>
      </c>
    </row>
    <row r="73" spans="1:22" s="64" customFormat="1" ht="12.95" customHeight="1" x14ac:dyDescent="0.2">
      <c r="A73" s="7" t="s">
        <v>42</v>
      </c>
      <c r="B73" s="128"/>
      <c r="C73" s="120">
        <v>53661.323299999996</v>
      </c>
      <c r="D73" s="120">
        <v>6.9999999999999999E-4</v>
      </c>
      <c r="E73" s="64">
        <f t="shared" si="9"/>
        <v>4752.931956523199</v>
      </c>
      <c r="F73" s="64">
        <f t="shared" si="12"/>
        <v>4753</v>
      </c>
      <c r="G73" s="64">
        <f t="shared" si="16"/>
        <v>-4.6657409999170341E-2</v>
      </c>
      <c r="J73" s="64">
        <f t="shared" si="17"/>
        <v>-4.6657409999170341E-2</v>
      </c>
      <c r="N73" s="74">
        <f t="shared" ca="1" si="18"/>
        <v>-4.5387687169165816E-2</v>
      </c>
      <c r="O73" s="110">
        <f t="shared" si="10"/>
        <v>-4.4721394581083249E-2</v>
      </c>
      <c r="P73" s="115">
        <f t="shared" si="11"/>
        <v>38642.823299999996</v>
      </c>
      <c r="Q73" s="64">
        <f t="shared" si="19"/>
        <v>3.7481556990709376E-6</v>
      </c>
      <c r="V73" s="74"/>
    </row>
    <row r="74" spans="1:22" s="64" customFormat="1" ht="12.95" customHeight="1" x14ac:dyDescent="0.2">
      <c r="A74" s="7" t="s">
        <v>42</v>
      </c>
      <c r="B74" s="89" t="s">
        <v>43</v>
      </c>
      <c r="C74" s="120">
        <v>53662.349900000001</v>
      </c>
      <c r="D74" s="120">
        <v>2.3E-3</v>
      </c>
      <c r="E74" s="64">
        <f t="shared" si="9"/>
        <v>4754.4291127794613</v>
      </c>
      <c r="F74" s="64">
        <f t="shared" si="12"/>
        <v>4754.5</v>
      </c>
      <c r="G74" s="64">
        <f t="shared" si="16"/>
        <v>-4.8607364995405078E-2</v>
      </c>
      <c r="I74" s="74"/>
      <c r="J74" s="64">
        <f t="shared" si="17"/>
        <v>-4.8607364995405078E-2</v>
      </c>
      <c r="N74" s="74">
        <f t="shared" ca="1" si="18"/>
        <v>-4.5406993002402855E-2</v>
      </c>
      <c r="O74" s="110">
        <f t="shared" si="10"/>
        <v>-4.4736796574628979E-2</v>
      </c>
      <c r="P74" s="115">
        <f t="shared" si="11"/>
        <v>38643.849900000001</v>
      </c>
      <c r="Q74" s="64">
        <f t="shared" si="19"/>
        <v>1.4981299899909188E-5</v>
      </c>
    </row>
    <row r="75" spans="1:22" s="64" customFormat="1" ht="12.95" customHeight="1" x14ac:dyDescent="0.2">
      <c r="A75" s="132" t="s">
        <v>44</v>
      </c>
      <c r="B75" s="128"/>
      <c r="C75" s="133">
        <v>54252.3868</v>
      </c>
      <c r="D75" s="133">
        <v>1.2999999999999999E-3</v>
      </c>
      <c r="E75" s="64">
        <f t="shared" si="9"/>
        <v>5614.9175564350726</v>
      </c>
      <c r="F75" s="64">
        <f t="shared" si="12"/>
        <v>5615</v>
      </c>
      <c r="G75" s="64">
        <f t="shared" si="16"/>
        <v>-5.6531549998908304E-2</v>
      </c>
      <c r="I75" s="74"/>
      <c r="J75" s="64">
        <f t="shared" si="17"/>
        <v>-5.6531549998908304E-2</v>
      </c>
      <c r="N75" s="74">
        <f t="shared" ca="1" si="18"/>
        <v>-5.6482106002716428E-2</v>
      </c>
      <c r="O75" s="110">
        <f t="shared" si="10"/>
        <v>-5.3706404994992983E-2</v>
      </c>
      <c r="P75" s="115">
        <f t="shared" si="11"/>
        <v>39233.8868</v>
      </c>
      <c r="Q75" s="64">
        <f t="shared" si="19"/>
        <v>7.9814442931476963E-6</v>
      </c>
      <c r="V75" s="74"/>
    </row>
    <row r="76" spans="1:22" s="64" customFormat="1" ht="12.95" customHeight="1" x14ac:dyDescent="0.2">
      <c r="A76" s="130" t="s">
        <v>334</v>
      </c>
      <c r="B76" s="131" t="s">
        <v>32</v>
      </c>
      <c r="C76" s="130">
        <v>54339.470699999998</v>
      </c>
      <c r="D76" s="130" t="s">
        <v>132</v>
      </c>
      <c r="E76" s="64">
        <f t="shared" si="9"/>
        <v>5741.9175619914349</v>
      </c>
      <c r="F76" s="64">
        <f t="shared" si="12"/>
        <v>5742</v>
      </c>
      <c r="G76" s="64">
        <f t="shared" si="16"/>
        <v>-5.6527740001911297E-2</v>
      </c>
      <c r="I76" s="74">
        <f>G76</f>
        <v>-5.6527740001911297E-2</v>
      </c>
      <c r="N76" s="74">
        <f t="shared" ref="N76:N87" ca="1" si="20">+C$11+C$12*F76</f>
        <v>-5.8116666550118892E-2</v>
      </c>
      <c r="O76" s="110">
        <f t="shared" si="10"/>
        <v>-5.5052872949612926E-2</v>
      </c>
      <c r="P76" s="115">
        <f t="shared" si="11"/>
        <v>39320.970699999998</v>
      </c>
      <c r="Q76" s="64">
        <f t="shared" si="19"/>
        <v>2.1752328219552879E-6</v>
      </c>
    </row>
    <row r="77" spans="1:22" s="64" customFormat="1" ht="12.95" customHeight="1" x14ac:dyDescent="0.2">
      <c r="A77" s="130" t="s">
        <v>340</v>
      </c>
      <c r="B77" s="131" t="s">
        <v>32</v>
      </c>
      <c r="C77" s="130">
        <v>54941.502999999997</v>
      </c>
      <c r="D77" s="130" t="s">
        <v>132</v>
      </c>
      <c r="E77" s="64">
        <f t="shared" si="9"/>
        <v>6619.8996625302452</v>
      </c>
      <c r="F77" s="64">
        <f t="shared" si="12"/>
        <v>6620</v>
      </c>
      <c r="G77" s="64">
        <f t="shared" si="16"/>
        <v>-6.8801400004304014E-2</v>
      </c>
      <c r="I77" s="74">
        <f>G77</f>
        <v>-6.8801400004304014E-2</v>
      </c>
      <c r="N77" s="74">
        <f t="shared" ca="1" si="20"/>
        <v>-6.9417014271531227E-2</v>
      </c>
      <c r="O77" s="110">
        <f t="shared" si="10"/>
        <v>-6.4520930134196131E-2</v>
      </c>
      <c r="P77" s="115">
        <f t="shared" si="11"/>
        <v>39923.002999999997</v>
      </c>
      <c r="Q77" s="64">
        <f t="shared" si="19"/>
        <v>1.8322422308901402E-5</v>
      </c>
      <c r="V77" s="74"/>
    </row>
    <row r="78" spans="1:22" s="64" customFormat="1" ht="12.95" customHeight="1" x14ac:dyDescent="0.2">
      <c r="A78" s="130" t="s">
        <v>340</v>
      </c>
      <c r="B78" s="131" t="s">
        <v>32</v>
      </c>
      <c r="C78" s="130">
        <v>54985.387999999999</v>
      </c>
      <c r="D78" s="130" t="s">
        <v>132</v>
      </c>
      <c r="E78" s="64">
        <f t="shared" si="9"/>
        <v>6683.8999570030619</v>
      </c>
      <c r="F78" s="64">
        <f t="shared" si="12"/>
        <v>6684</v>
      </c>
      <c r="G78" s="64">
        <f t="shared" si="16"/>
        <v>-6.8599480000557378E-2</v>
      </c>
      <c r="I78" s="74">
        <f>G78</f>
        <v>-6.8599480000557378E-2</v>
      </c>
      <c r="M78" s="74"/>
      <c r="N78" s="74">
        <f t="shared" ca="1" si="20"/>
        <v>-7.0240729822978132E-2</v>
      </c>
      <c r="O78" s="110">
        <f t="shared" si="10"/>
        <v>-6.5221975736847806E-2</v>
      </c>
      <c r="P78" s="115">
        <f t="shared" si="11"/>
        <v>39966.887999999999</v>
      </c>
      <c r="Q78" s="64">
        <f t="shared" si="19"/>
        <v>1.1407535051376334E-5</v>
      </c>
    </row>
    <row r="79" spans="1:22" s="64" customFormat="1" ht="12.95" customHeight="1" x14ac:dyDescent="0.2">
      <c r="A79" s="130" t="s">
        <v>348</v>
      </c>
      <c r="B79" s="131" t="s">
        <v>32</v>
      </c>
      <c r="C79" s="130">
        <v>55096.469100000002</v>
      </c>
      <c r="D79" s="130" t="s">
        <v>132</v>
      </c>
      <c r="E79" s="64">
        <f t="shared" si="9"/>
        <v>6845.8966098540213</v>
      </c>
      <c r="F79" s="64">
        <f t="shared" si="12"/>
        <v>6846</v>
      </c>
      <c r="G79" s="64">
        <f t="shared" si="16"/>
        <v>-7.0894619995669927E-2</v>
      </c>
      <c r="I79" s="74">
        <f>G79</f>
        <v>-7.0894619995669927E-2</v>
      </c>
      <c r="M79" s="74"/>
      <c r="N79" s="74">
        <f t="shared" ca="1" si="20"/>
        <v>-7.2325759812578133E-2</v>
      </c>
      <c r="O79" s="110">
        <f t="shared" si="10"/>
        <v>-6.7003111416084671E-2</v>
      </c>
      <c r="P79" s="115">
        <f t="shared" si="11"/>
        <v>40077.969100000002</v>
      </c>
      <c r="Q79" s="64">
        <f t="shared" si="19"/>
        <v>1.5143839024985662E-5</v>
      </c>
      <c r="V79" s="74"/>
    </row>
    <row r="80" spans="1:22" s="64" customFormat="1" ht="12.95" customHeight="1" x14ac:dyDescent="0.2">
      <c r="A80" s="130" t="s">
        <v>353</v>
      </c>
      <c r="B80" s="131" t="s">
        <v>32</v>
      </c>
      <c r="C80" s="130">
        <v>55375.5435</v>
      </c>
      <c r="D80" s="130" t="s">
        <v>132</v>
      </c>
      <c r="E80" s="64">
        <f t="shared" si="9"/>
        <v>7252.8886066598516</v>
      </c>
      <c r="F80" s="64">
        <f t="shared" si="12"/>
        <v>7253</v>
      </c>
      <c r="G80" s="64">
        <f t="shared" si="16"/>
        <v>-7.6382409999496303E-2</v>
      </c>
      <c r="I80" s="74">
        <f>G80</f>
        <v>-7.6382409999496303E-2</v>
      </c>
      <c r="K80" s="74"/>
      <c r="N80" s="74">
        <f t="shared" ca="1" si="20"/>
        <v>-7.7564075897560841E-2</v>
      </c>
      <c r="O80" s="110">
        <f t="shared" si="10"/>
        <v>-7.1519775663772447E-2</v>
      </c>
      <c r="P80" s="115">
        <f t="shared" si="11"/>
        <v>40357.0435</v>
      </c>
      <c r="Q80" s="64">
        <f t="shared" si="19"/>
        <v>2.3645212682960586E-5</v>
      </c>
    </row>
    <row r="81" spans="1:22" s="64" customFormat="1" ht="12.95" customHeight="1" x14ac:dyDescent="0.2">
      <c r="A81" s="134" t="s">
        <v>126</v>
      </c>
      <c r="B81" s="135"/>
      <c r="C81" s="136">
        <v>55397.484900000003</v>
      </c>
      <c r="D81" s="136">
        <v>2.5000000000000001E-3</v>
      </c>
      <c r="E81" s="64">
        <f t="shared" si="9"/>
        <v>7284.8871496961056</v>
      </c>
      <c r="F81" s="64">
        <f t="shared" si="12"/>
        <v>7285</v>
      </c>
      <c r="G81" s="64">
        <f t="shared" si="16"/>
        <v>-7.7381449991662521E-2</v>
      </c>
      <c r="I81" s="74"/>
      <c r="J81" s="64">
        <f>G81</f>
        <v>-7.7381449991662521E-2</v>
      </c>
      <c r="K81" s="74"/>
      <c r="N81" s="74">
        <f t="shared" ca="1" si="20"/>
        <v>-7.7975933673284301E-2</v>
      </c>
      <c r="O81" s="110">
        <f t="shared" si="10"/>
        <v>-7.1877432015143586E-2</v>
      </c>
      <c r="P81" s="115">
        <f t="shared" si="11"/>
        <v>40378.984900000003</v>
      </c>
      <c r="Q81" s="64">
        <f t="shared" si="19"/>
        <v>3.0294213885843591E-5</v>
      </c>
      <c r="V81" s="74"/>
    </row>
    <row r="82" spans="1:22" s="64" customFormat="1" ht="12.95" customHeight="1" x14ac:dyDescent="0.2">
      <c r="A82" s="130" t="s">
        <v>363</v>
      </c>
      <c r="B82" s="131" t="s">
        <v>32</v>
      </c>
      <c r="C82" s="130">
        <v>55641.587599999999</v>
      </c>
      <c r="D82" s="130" t="s">
        <v>132</v>
      </c>
      <c r="E82" s="64">
        <f t="shared" si="9"/>
        <v>7640.8776859068566</v>
      </c>
      <c r="F82" s="64">
        <f t="shared" si="12"/>
        <v>7641</v>
      </c>
      <c r="G82" s="64">
        <f t="shared" si="16"/>
        <v>-8.3870770002249628E-2</v>
      </c>
      <c r="I82" s="74">
        <f>G82</f>
        <v>-8.3870770002249628E-2</v>
      </c>
      <c r="N82" s="74">
        <f t="shared" ca="1" si="20"/>
        <v>-8.2557851428207749E-2</v>
      </c>
      <c r="O82" s="110">
        <f t="shared" si="10"/>
        <v>-7.588131189721925E-2</v>
      </c>
      <c r="P82" s="115">
        <f t="shared" si="11"/>
        <v>40623.087599999999</v>
      </c>
      <c r="Q82" s="64">
        <f t="shared" si="19"/>
        <v>6.3831440812035602E-5</v>
      </c>
    </row>
    <row r="83" spans="1:22" s="64" customFormat="1" ht="12.95" customHeight="1" x14ac:dyDescent="0.2">
      <c r="A83" s="130" t="s">
        <v>363</v>
      </c>
      <c r="B83" s="131" t="s">
        <v>32</v>
      </c>
      <c r="C83" s="130">
        <v>55685.472699999998</v>
      </c>
      <c r="D83" s="130" t="s">
        <v>132</v>
      </c>
      <c r="E83" s="64">
        <f t="shared" si="9"/>
        <v>7704.8781262160483</v>
      </c>
      <c r="F83" s="64">
        <f t="shared" si="12"/>
        <v>7705</v>
      </c>
      <c r="G83" s="64">
        <f t="shared" si="16"/>
        <v>-8.3568850001029205E-2</v>
      </c>
      <c r="I83" s="74">
        <f>G83</f>
        <v>-8.3568850001029205E-2</v>
      </c>
      <c r="N83" s="74">
        <f t="shared" ca="1" si="20"/>
        <v>-8.3381566979654667E-2</v>
      </c>
      <c r="O83" s="110">
        <f t="shared" si="10"/>
        <v>-7.6605966428870131E-2</v>
      </c>
      <c r="P83" s="115">
        <f t="shared" si="11"/>
        <v>40666.972699999998</v>
      </c>
      <c r="Q83" s="64">
        <f t="shared" si="19"/>
        <v>4.8481747639442698E-5</v>
      </c>
      <c r="V83" s="74"/>
    </row>
    <row r="84" spans="1:22" s="64" customFormat="1" ht="12.95" customHeight="1" x14ac:dyDescent="0.2">
      <c r="A84" s="130" t="s">
        <v>373</v>
      </c>
      <c r="B84" s="131" t="s">
        <v>32</v>
      </c>
      <c r="C84" s="130">
        <v>55730.726000000002</v>
      </c>
      <c r="D84" s="130" t="s">
        <v>132</v>
      </c>
      <c r="E84" s="64">
        <f t="shared" si="9"/>
        <v>7770.8738998486533</v>
      </c>
      <c r="F84" s="64">
        <f t="shared" si="12"/>
        <v>7771</v>
      </c>
      <c r="G84" s="64">
        <f t="shared" si="16"/>
        <v>-8.6466869994183071E-2</v>
      </c>
      <c r="I84" s="74"/>
      <c r="K84" s="64">
        <f>G84</f>
        <v>-8.6466869994183071E-2</v>
      </c>
      <c r="N84" s="74">
        <f t="shared" ca="1" si="20"/>
        <v>-8.4231023642084291E-2</v>
      </c>
      <c r="O84" s="110">
        <f t="shared" si="10"/>
        <v>-7.7354816400944562E-2</v>
      </c>
      <c r="P84" s="115">
        <f t="shared" si="11"/>
        <v>40712.226000000002</v>
      </c>
      <c r="Q84" s="64">
        <f t="shared" si="19"/>
        <v>8.3029520686050815E-5</v>
      </c>
    </row>
    <row r="85" spans="1:22" s="64" customFormat="1" ht="12.95" customHeight="1" x14ac:dyDescent="0.2">
      <c r="A85" s="137" t="s">
        <v>378</v>
      </c>
      <c r="B85" s="138" t="s">
        <v>32</v>
      </c>
      <c r="C85" s="137">
        <v>55790.3825</v>
      </c>
      <c r="D85" s="137" t="s">
        <v>132</v>
      </c>
      <c r="E85" s="64">
        <f t="shared" si="9"/>
        <v>7857.8747786732465</v>
      </c>
      <c r="F85" s="64">
        <f t="shared" si="12"/>
        <v>7858</v>
      </c>
      <c r="G85" s="64">
        <f t="shared" si="16"/>
        <v>-8.5864259999652859E-2</v>
      </c>
      <c r="I85" s="74">
        <f>G85</f>
        <v>-8.5864259999652859E-2</v>
      </c>
      <c r="N85" s="74">
        <f t="shared" ca="1" si="20"/>
        <v>-8.5350761969832448E-2</v>
      </c>
      <c r="O85" s="110">
        <f t="shared" si="10"/>
        <v>-7.8344341465271763E-2</v>
      </c>
      <c r="P85" s="115">
        <f t="shared" si="11"/>
        <v>40771.8825</v>
      </c>
      <c r="Q85" s="64">
        <f t="shared" si="19"/>
        <v>5.654917476372832E-5</v>
      </c>
      <c r="V85" s="74"/>
    </row>
    <row r="86" spans="1:22" s="64" customFormat="1" ht="12.95" customHeight="1" x14ac:dyDescent="0.2">
      <c r="A86" s="137" t="s">
        <v>378</v>
      </c>
      <c r="B86" s="138" t="s">
        <v>32</v>
      </c>
      <c r="C86" s="137">
        <v>55794.497799999997</v>
      </c>
      <c r="D86" s="137" t="s">
        <v>132</v>
      </c>
      <c r="E86" s="64">
        <f t="shared" si="9"/>
        <v>7863.8763831359065</v>
      </c>
      <c r="F86" s="64">
        <f t="shared" si="12"/>
        <v>7864</v>
      </c>
      <c r="G86" s="64">
        <f t="shared" si="16"/>
        <v>-8.4764079998421948E-2</v>
      </c>
      <c r="I86" s="74">
        <f>G86</f>
        <v>-8.4764079998421948E-2</v>
      </c>
      <c r="J86" s="74"/>
      <c r="N86" s="74">
        <f t="shared" ca="1" si="20"/>
        <v>-8.542798530278059E-2</v>
      </c>
      <c r="O86" s="110">
        <f t="shared" si="10"/>
        <v>-7.841268537646183E-2</v>
      </c>
      <c r="P86" s="115">
        <f t="shared" si="11"/>
        <v>40775.997799999997</v>
      </c>
      <c r="Q86" s="64">
        <f t="shared" si="19"/>
        <v>4.0340213643863915E-5</v>
      </c>
    </row>
    <row r="87" spans="1:22" s="64" customFormat="1" ht="12.95" customHeight="1" x14ac:dyDescent="0.2">
      <c r="A87" s="137" t="s">
        <v>378</v>
      </c>
      <c r="B87" s="138" t="s">
        <v>43</v>
      </c>
      <c r="C87" s="137">
        <v>55804.443200000002</v>
      </c>
      <c r="D87" s="137" t="s">
        <v>132</v>
      </c>
      <c r="E87" s="64">
        <f t="shared" si="9"/>
        <v>7878.3803942706945</v>
      </c>
      <c r="F87" s="64">
        <f t="shared" si="12"/>
        <v>7878.5</v>
      </c>
      <c r="G87" s="64">
        <f t="shared" si="16"/>
        <v>-8.2013644998369273E-2</v>
      </c>
      <c r="I87" s="74">
        <f>G87</f>
        <v>-8.2013644998369273E-2</v>
      </c>
      <c r="J87" s="74"/>
      <c r="N87" s="74">
        <f t="shared" ca="1" si="20"/>
        <v>-8.5614608357405281E-2</v>
      </c>
      <c r="O87" s="110">
        <f t="shared" si="10"/>
        <v>-7.8577903527039542E-2</v>
      </c>
      <c r="P87" s="115">
        <f t="shared" si="11"/>
        <v>40785.943200000002</v>
      </c>
      <c r="Q87" s="64">
        <f t="shared" si="19"/>
        <v>1.1804319457814988E-5</v>
      </c>
      <c r="V87" s="74"/>
    </row>
    <row r="88" spans="1:22" s="64" customFormat="1" ht="12.95" customHeight="1" x14ac:dyDescent="0.2">
      <c r="A88" s="61" t="s">
        <v>398</v>
      </c>
      <c r="B88" s="62" t="s">
        <v>32</v>
      </c>
      <c r="C88" s="140">
        <v>59003.514000000003</v>
      </c>
      <c r="D88" s="141">
        <v>6.0000000000000001E-3</v>
      </c>
      <c r="E88" s="64">
        <f t="shared" ref="E88:E90" si="21">(C88-C$7)/C$8</f>
        <v>12543.789377736162</v>
      </c>
      <c r="F88" s="64">
        <f t="shared" ref="F88:F90" si="22">ROUND(2*E88,0)/2</f>
        <v>12544</v>
      </c>
      <c r="G88" s="64">
        <f t="shared" ref="G88:G90" si="23">C88-(C$7+F88*C$8)</f>
        <v>-0.14442367999436101</v>
      </c>
      <c r="J88" s="74"/>
      <c r="K88" s="74">
        <f>G88</f>
        <v>-0.14442367999436101</v>
      </c>
      <c r="N88" s="74">
        <f t="shared" ref="N88:N90" ca="1" si="24">+C$11+C$12*F88</f>
        <v>-0.14566218500233608</v>
      </c>
      <c r="O88" s="110">
        <f t="shared" ref="O88:O90" si="25">+D$11+D$12*F88+D$13*F88^2</f>
        <v>-0.13568270111174602</v>
      </c>
      <c r="P88" s="115">
        <f t="shared" ref="P88:P90" si="26">C88-15018.5</f>
        <v>43985.014000000003</v>
      </c>
      <c r="Q88" s="64">
        <f t="shared" ref="Q88:Q90" si="27">+(O88-G88)^2</f>
        <v>7.640471182632123E-5</v>
      </c>
    </row>
    <row r="89" spans="1:22" s="64" customFormat="1" ht="12.95" customHeight="1" x14ac:dyDescent="0.2">
      <c r="A89" s="61" t="s">
        <v>398</v>
      </c>
      <c r="B89" s="62" t="s">
        <v>32</v>
      </c>
      <c r="C89" s="140">
        <v>59511.262799999997</v>
      </c>
      <c r="D89" s="141">
        <v>2.0000000000000001E-4</v>
      </c>
      <c r="E89" s="64">
        <f t="shared" si="21"/>
        <v>13284.271836850159</v>
      </c>
      <c r="F89" s="64">
        <f t="shared" si="22"/>
        <v>13284.5</v>
      </c>
      <c r="G89" s="64">
        <f t="shared" si="23"/>
        <v>-0.15645146500173723</v>
      </c>
      <c r="J89" s="74"/>
      <c r="K89" s="74">
        <f>G89</f>
        <v>-0.15645146500173723</v>
      </c>
      <c r="N89" s="74">
        <f t="shared" ca="1" si="24"/>
        <v>-0.15519283134368667</v>
      </c>
      <c r="O89" s="110">
        <f t="shared" si="25"/>
        <v>-0.145469446834047</v>
      </c>
      <c r="P89" s="115">
        <f t="shared" si="26"/>
        <v>44492.762799999997</v>
      </c>
      <c r="Q89" s="64">
        <f t="shared" si="27"/>
        <v>1.2060472303547834E-4</v>
      </c>
      <c r="V89" s="74"/>
    </row>
    <row r="90" spans="1:22" s="64" customFormat="1" ht="12.95" customHeight="1" x14ac:dyDescent="0.2">
      <c r="A90" s="61" t="s">
        <v>398</v>
      </c>
      <c r="B90" s="62" t="s">
        <v>32</v>
      </c>
      <c r="C90" s="140">
        <v>59512.290999999997</v>
      </c>
      <c r="D90" s="141">
        <v>1E-4</v>
      </c>
      <c r="E90" s="64">
        <f t="shared" si="21"/>
        <v>13285.771326488462</v>
      </c>
      <c r="F90" s="64">
        <f t="shared" si="22"/>
        <v>13286</v>
      </c>
      <c r="G90" s="64">
        <f t="shared" si="23"/>
        <v>-0.15680142000201158</v>
      </c>
      <c r="J90" s="74"/>
      <c r="K90" s="74">
        <f>G90</f>
        <v>-0.15680142000201158</v>
      </c>
      <c r="N90" s="74">
        <f t="shared" ca="1" si="24"/>
        <v>-0.15521213717692373</v>
      </c>
      <c r="O90" s="110">
        <f t="shared" si="25"/>
        <v>-0.14548947250178829</v>
      </c>
      <c r="P90" s="115">
        <f t="shared" si="26"/>
        <v>44493.790999999997</v>
      </c>
      <c r="Q90" s="64">
        <f t="shared" si="27"/>
        <v>1.2796015624780808E-4</v>
      </c>
    </row>
    <row r="91" spans="1:22" s="64" customFormat="1" ht="12.95" customHeight="1" x14ac:dyDescent="0.2">
      <c r="B91" s="84"/>
      <c r="C91" s="139"/>
      <c r="D91" s="139"/>
      <c r="V91" s="74"/>
    </row>
    <row r="92" spans="1:22" s="64" customFormat="1" ht="12.95" customHeight="1" x14ac:dyDescent="0.2">
      <c r="B92" s="84"/>
      <c r="C92" s="139"/>
      <c r="D92" s="139"/>
    </row>
    <row r="93" spans="1:22" s="64" customFormat="1" ht="12.95" customHeight="1" x14ac:dyDescent="0.2">
      <c r="B93" s="84"/>
      <c r="C93" s="139"/>
      <c r="D93" s="139"/>
      <c r="V93" s="74"/>
    </row>
    <row r="94" spans="1:22" s="64" customFormat="1" ht="12.95" customHeight="1" x14ac:dyDescent="0.2">
      <c r="B94" s="84"/>
      <c r="C94" s="139"/>
      <c r="D94" s="139"/>
    </row>
    <row r="95" spans="1:22" s="64" customFormat="1" ht="12.95" customHeight="1" x14ac:dyDescent="0.2">
      <c r="B95" s="84"/>
      <c r="C95" s="139"/>
      <c r="D95" s="139"/>
      <c r="V95" s="74"/>
    </row>
    <row r="96" spans="1:22" s="64" customFormat="1" ht="12.95" customHeight="1" x14ac:dyDescent="0.2">
      <c r="B96" s="84"/>
      <c r="C96" s="139"/>
      <c r="D96" s="139"/>
    </row>
    <row r="97" spans="2:22" s="64" customFormat="1" ht="12.95" customHeight="1" x14ac:dyDescent="0.2">
      <c r="B97" s="84"/>
      <c r="C97" s="139"/>
      <c r="D97" s="139"/>
      <c r="V97" s="74"/>
    </row>
    <row r="98" spans="2:22" s="64" customFormat="1" ht="12.95" customHeight="1" x14ac:dyDescent="0.2">
      <c r="B98" s="84"/>
      <c r="C98" s="139"/>
      <c r="D98" s="139"/>
    </row>
    <row r="99" spans="2:22" s="64" customFormat="1" ht="12.95" customHeight="1" x14ac:dyDescent="0.2">
      <c r="B99" s="84"/>
      <c r="C99" s="139"/>
      <c r="D99" s="139"/>
      <c r="V99" s="74"/>
    </row>
    <row r="100" spans="2:22" s="64" customFormat="1" ht="12.95" customHeight="1" x14ac:dyDescent="0.2">
      <c r="B100" s="84"/>
      <c r="C100" s="139"/>
      <c r="D100" s="139"/>
    </row>
    <row r="101" spans="2:22" s="64" customFormat="1" ht="12.95" customHeight="1" x14ac:dyDescent="0.2">
      <c r="B101" s="84"/>
      <c r="C101" s="139"/>
      <c r="D101" s="139"/>
      <c r="V101" s="74"/>
    </row>
    <row r="102" spans="2:22" s="64" customFormat="1" ht="12.95" customHeight="1" x14ac:dyDescent="0.2">
      <c r="B102" s="84"/>
      <c r="C102" s="139"/>
      <c r="D102" s="139"/>
    </row>
    <row r="103" spans="2:22" s="64" customFormat="1" ht="12.95" customHeight="1" x14ac:dyDescent="0.2">
      <c r="B103" s="84"/>
      <c r="C103" s="139"/>
      <c r="D103" s="139"/>
      <c r="V103" s="74"/>
    </row>
    <row r="104" spans="2:22" s="64" customFormat="1" ht="12.95" customHeight="1" x14ac:dyDescent="0.2">
      <c r="B104" s="84"/>
      <c r="C104" s="139"/>
      <c r="D104" s="139"/>
    </row>
    <row r="105" spans="2:22" s="64" customFormat="1" ht="12.95" customHeight="1" x14ac:dyDescent="0.2">
      <c r="B105" s="84"/>
      <c r="C105" s="139"/>
      <c r="D105" s="139"/>
      <c r="V105" s="74"/>
    </row>
    <row r="106" spans="2:22" s="64" customFormat="1" ht="12.95" customHeight="1" x14ac:dyDescent="0.2">
      <c r="B106" s="84"/>
      <c r="C106" s="139"/>
      <c r="D106" s="139"/>
    </row>
    <row r="107" spans="2:22" s="64" customFormat="1" ht="12.95" customHeight="1" x14ac:dyDescent="0.2">
      <c r="B107" s="84"/>
      <c r="C107" s="139"/>
      <c r="D107" s="139"/>
      <c r="V107" s="74"/>
    </row>
    <row r="108" spans="2:22" s="64" customFormat="1" ht="12.95" customHeight="1" x14ac:dyDescent="0.2">
      <c r="B108" s="84"/>
      <c r="C108" s="139"/>
      <c r="D108" s="139"/>
    </row>
    <row r="109" spans="2:22" s="64" customFormat="1" ht="12.95" customHeight="1" x14ac:dyDescent="0.2">
      <c r="B109" s="84"/>
      <c r="C109" s="139"/>
      <c r="D109" s="139"/>
      <c r="V109" s="74"/>
    </row>
    <row r="110" spans="2:22" s="64" customFormat="1" ht="12.95" customHeight="1" x14ac:dyDescent="0.2">
      <c r="B110" s="84"/>
      <c r="C110" s="139"/>
      <c r="D110" s="139"/>
    </row>
    <row r="111" spans="2:22" s="64" customFormat="1" ht="12.95" customHeight="1" x14ac:dyDescent="0.2">
      <c r="B111" s="84"/>
      <c r="C111" s="139"/>
      <c r="D111" s="139"/>
      <c r="V111" s="74"/>
    </row>
    <row r="112" spans="2:22" s="64" customFormat="1" ht="12.95" customHeight="1" x14ac:dyDescent="0.2">
      <c r="B112" s="84"/>
      <c r="C112" s="139"/>
      <c r="D112" s="139"/>
    </row>
    <row r="113" spans="2:22" s="64" customFormat="1" ht="12.95" customHeight="1" x14ac:dyDescent="0.2">
      <c r="B113" s="84"/>
      <c r="C113" s="139"/>
      <c r="D113" s="139"/>
      <c r="V113" s="74"/>
    </row>
    <row r="114" spans="2:22" s="64" customFormat="1" ht="12.95" customHeight="1" x14ac:dyDescent="0.2">
      <c r="B114" s="84"/>
      <c r="C114" s="139"/>
      <c r="D114" s="139"/>
    </row>
    <row r="115" spans="2:22" s="64" customFormat="1" ht="12.95" customHeight="1" x14ac:dyDescent="0.2">
      <c r="B115" s="84"/>
      <c r="C115" s="139"/>
      <c r="D115" s="139"/>
      <c r="V115" s="74"/>
    </row>
    <row r="116" spans="2:22" s="64" customFormat="1" ht="12.95" customHeight="1" x14ac:dyDescent="0.2">
      <c r="B116" s="84"/>
      <c r="C116" s="139"/>
      <c r="D116" s="139"/>
    </row>
    <row r="117" spans="2:22" s="64" customFormat="1" ht="12.95" customHeight="1" x14ac:dyDescent="0.2">
      <c r="B117" s="84"/>
      <c r="C117" s="139"/>
      <c r="D117" s="139"/>
      <c r="V117" s="74"/>
    </row>
    <row r="118" spans="2:22" s="64" customFormat="1" ht="12.95" customHeight="1" x14ac:dyDescent="0.2">
      <c r="B118" s="84"/>
      <c r="C118" s="139"/>
      <c r="D118" s="139"/>
    </row>
    <row r="119" spans="2:22" s="64" customFormat="1" ht="12.95" customHeight="1" x14ac:dyDescent="0.2">
      <c r="B119" s="84"/>
      <c r="C119" s="139"/>
      <c r="D119" s="139"/>
      <c r="V119" s="74"/>
    </row>
    <row r="120" spans="2:22" s="64" customFormat="1" ht="12.95" customHeight="1" x14ac:dyDescent="0.2">
      <c r="B120" s="84"/>
      <c r="C120" s="139"/>
      <c r="D120" s="139"/>
    </row>
    <row r="121" spans="2:22" s="64" customFormat="1" ht="12.95" customHeight="1" x14ac:dyDescent="0.2">
      <c r="B121" s="84"/>
      <c r="C121" s="139"/>
      <c r="D121" s="139"/>
      <c r="V121" s="74"/>
    </row>
    <row r="122" spans="2:22" s="64" customFormat="1" ht="12.95" customHeight="1" x14ac:dyDescent="0.2">
      <c r="B122" s="84"/>
      <c r="C122" s="139"/>
      <c r="D122" s="139"/>
    </row>
    <row r="123" spans="2:22" s="64" customFormat="1" ht="12.95" customHeight="1" x14ac:dyDescent="0.2">
      <c r="B123" s="84"/>
      <c r="C123" s="139"/>
      <c r="D123" s="139"/>
      <c r="V123" s="74"/>
    </row>
    <row r="124" spans="2:22" s="64" customFormat="1" ht="12.95" customHeight="1" x14ac:dyDescent="0.2">
      <c r="B124" s="84"/>
      <c r="C124" s="139"/>
      <c r="D124" s="139"/>
    </row>
    <row r="125" spans="2:22" s="64" customFormat="1" ht="12.95" customHeight="1" x14ac:dyDescent="0.2">
      <c r="B125" s="84"/>
      <c r="C125" s="139"/>
      <c r="D125" s="139"/>
      <c r="V125" s="74"/>
    </row>
    <row r="126" spans="2:22" s="64" customFormat="1" ht="12.95" customHeight="1" x14ac:dyDescent="0.2">
      <c r="B126" s="84"/>
      <c r="C126" s="139"/>
      <c r="D126" s="139"/>
    </row>
    <row r="127" spans="2:22" s="64" customFormat="1" ht="12.95" customHeight="1" x14ac:dyDescent="0.2">
      <c r="B127" s="84"/>
      <c r="C127" s="139"/>
      <c r="D127" s="139"/>
      <c r="V127" s="74"/>
    </row>
    <row r="128" spans="2:22" s="64" customFormat="1" ht="12.95" customHeight="1" x14ac:dyDescent="0.2">
      <c r="B128" s="84"/>
      <c r="C128" s="139"/>
      <c r="D128" s="139"/>
    </row>
    <row r="129" spans="2:22" s="64" customFormat="1" ht="12.95" customHeight="1" x14ac:dyDescent="0.2">
      <c r="B129" s="84"/>
      <c r="C129" s="139"/>
      <c r="D129" s="139"/>
      <c r="V129" s="74"/>
    </row>
    <row r="130" spans="2:22" s="64" customFormat="1" ht="12.95" customHeight="1" x14ac:dyDescent="0.2">
      <c r="B130" s="84"/>
      <c r="C130" s="139"/>
      <c r="D130" s="139"/>
    </row>
    <row r="131" spans="2:22" s="64" customFormat="1" ht="12.95" customHeight="1" x14ac:dyDescent="0.2">
      <c r="B131" s="84"/>
      <c r="C131" s="139"/>
      <c r="D131" s="139"/>
      <c r="V131" s="74"/>
    </row>
    <row r="132" spans="2:22" s="64" customFormat="1" ht="12.95" customHeight="1" x14ac:dyDescent="0.2">
      <c r="B132" s="84"/>
      <c r="C132" s="139"/>
      <c r="D132" s="139"/>
    </row>
    <row r="133" spans="2:22" s="64" customFormat="1" ht="12.95" customHeight="1" x14ac:dyDescent="0.2">
      <c r="B133" s="84"/>
      <c r="C133" s="139"/>
      <c r="D133" s="139"/>
      <c r="V133" s="74"/>
    </row>
    <row r="134" spans="2:22" s="64" customFormat="1" ht="12.95" customHeight="1" x14ac:dyDescent="0.2">
      <c r="B134" s="84"/>
      <c r="C134" s="139"/>
      <c r="D134" s="139"/>
    </row>
    <row r="135" spans="2:22" s="64" customFormat="1" ht="12.95" customHeight="1" x14ac:dyDescent="0.2">
      <c r="B135" s="84"/>
      <c r="C135" s="139"/>
      <c r="D135" s="139"/>
      <c r="V135" s="74"/>
    </row>
    <row r="136" spans="2:22" s="64" customFormat="1" ht="12.95" customHeight="1" x14ac:dyDescent="0.2">
      <c r="B136" s="84"/>
      <c r="C136" s="139"/>
      <c r="D136" s="139"/>
    </row>
    <row r="137" spans="2:22" s="64" customFormat="1" ht="12.95" customHeight="1" x14ac:dyDescent="0.2">
      <c r="B137" s="84"/>
      <c r="C137" s="139"/>
      <c r="D137" s="139"/>
      <c r="V137" s="74"/>
    </row>
    <row r="138" spans="2:22" s="64" customFormat="1" ht="12.95" customHeight="1" x14ac:dyDescent="0.2">
      <c r="B138" s="84"/>
      <c r="C138" s="139"/>
      <c r="D138" s="139"/>
    </row>
    <row r="139" spans="2:22" s="64" customFormat="1" ht="12.95" customHeight="1" x14ac:dyDescent="0.2">
      <c r="B139" s="84"/>
      <c r="C139" s="139"/>
      <c r="D139" s="139"/>
      <c r="V139" s="74"/>
    </row>
    <row r="140" spans="2:22" s="64" customFormat="1" ht="12.95" customHeight="1" x14ac:dyDescent="0.2">
      <c r="B140" s="84"/>
      <c r="C140" s="139"/>
      <c r="D140" s="139"/>
    </row>
    <row r="141" spans="2:22" s="64" customFormat="1" ht="12.95" customHeight="1" x14ac:dyDescent="0.2">
      <c r="B141" s="84"/>
      <c r="C141" s="139"/>
      <c r="D141" s="139"/>
      <c r="V141" s="74"/>
    </row>
    <row r="142" spans="2:22" s="64" customFormat="1" ht="12.95" customHeight="1" x14ac:dyDescent="0.2">
      <c r="B142" s="84"/>
      <c r="C142" s="139"/>
      <c r="D142" s="139"/>
    </row>
    <row r="143" spans="2:22" s="64" customFormat="1" ht="12.95" customHeight="1" x14ac:dyDescent="0.2">
      <c r="B143" s="84"/>
      <c r="C143" s="139"/>
      <c r="D143" s="139"/>
      <c r="V143" s="74"/>
    </row>
    <row r="144" spans="2:22" s="64" customFormat="1" ht="12.95" customHeight="1" x14ac:dyDescent="0.2">
      <c r="B144" s="84"/>
      <c r="C144" s="139"/>
      <c r="D144" s="139"/>
    </row>
    <row r="145" spans="2:22" s="64" customFormat="1" ht="12.95" customHeight="1" x14ac:dyDescent="0.2">
      <c r="B145" s="84"/>
      <c r="C145" s="139"/>
      <c r="D145" s="139"/>
      <c r="V145" s="74"/>
    </row>
    <row r="146" spans="2:22" s="64" customFormat="1" ht="12.95" customHeight="1" x14ac:dyDescent="0.2">
      <c r="B146" s="84"/>
      <c r="C146" s="139"/>
      <c r="D146" s="139"/>
    </row>
    <row r="147" spans="2:22" s="64" customFormat="1" ht="12.95" customHeight="1" x14ac:dyDescent="0.2">
      <c r="B147" s="84"/>
      <c r="C147" s="139"/>
      <c r="D147" s="139"/>
      <c r="V147" s="74"/>
    </row>
    <row r="148" spans="2:22" s="64" customFormat="1" ht="12.95" customHeight="1" x14ac:dyDescent="0.2">
      <c r="B148" s="84"/>
      <c r="C148" s="139"/>
      <c r="D148" s="139"/>
    </row>
    <row r="149" spans="2:22" s="64" customFormat="1" ht="12.95" customHeight="1" x14ac:dyDescent="0.2">
      <c r="B149" s="84"/>
      <c r="C149" s="139"/>
      <c r="D149" s="139"/>
      <c r="V149" s="74"/>
    </row>
    <row r="150" spans="2:22" s="64" customFormat="1" ht="12.95" customHeight="1" x14ac:dyDescent="0.2">
      <c r="B150" s="84"/>
      <c r="C150" s="139"/>
      <c r="D150" s="139"/>
    </row>
    <row r="151" spans="2:22" s="64" customFormat="1" ht="12.95" customHeight="1" x14ac:dyDescent="0.2">
      <c r="B151" s="84"/>
      <c r="C151" s="139"/>
      <c r="D151" s="139"/>
      <c r="V151" s="74"/>
    </row>
    <row r="152" spans="2:22" s="64" customFormat="1" ht="12.95" customHeight="1" x14ac:dyDescent="0.2">
      <c r="B152" s="84"/>
      <c r="C152" s="139"/>
      <c r="D152" s="139"/>
    </row>
    <row r="153" spans="2:22" s="64" customFormat="1" ht="12.95" customHeight="1" x14ac:dyDescent="0.2">
      <c r="B153" s="84"/>
      <c r="C153" s="139"/>
      <c r="D153" s="139"/>
      <c r="V153" s="74"/>
    </row>
    <row r="154" spans="2:22" s="64" customFormat="1" ht="12.95" customHeight="1" x14ac:dyDescent="0.2">
      <c r="B154" s="84"/>
      <c r="C154" s="139"/>
      <c r="D154" s="139"/>
    </row>
    <row r="155" spans="2:22" s="64" customFormat="1" ht="12.95" customHeight="1" x14ac:dyDescent="0.2">
      <c r="B155" s="84"/>
      <c r="C155" s="139"/>
      <c r="D155" s="139"/>
      <c r="V155" s="74"/>
    </row>
    <row r="156" spans="2:22" s="64" customFormat="1" ht="12.95" customHeight="1" x14ac:dyDescent="0.2">
      <c r="B156" s="84"/>
      <c r="C156" s="139"/>
      <c r="D156" s="139"/>
    </row>
    <row r="157" spans="2:22" s="64" customFormat="1" ht="12.95" customHeight="1" x14ac:dyDescent="0.2">
      <c r="B157" s="84"/>
      <c r="C157" s="139"/>
      <c r="D157" s="139"/>
      <c r="V157" s="74"/>
    </row>
    <row r="158" spans="2:22" s="64" customFormat="1" ht="12.95" customHeight="1" x14ac:dyDescent="0.2">
      <c r="B158" s="84"/>
      <c r="C158" s="139"/>
      <c r="D158" s="139"/>
    </row>
    <row r="159" spans="2:22" s="64" customFormat="1" ht="12.95" customHeight="1" x14ac:dyDescent="0.2">
      <c r="B159" s="84"/>
      <c r="C159" s="139"/>
      <c r="D159" s="139"/>
      <c r="V159" s="74"/>
    </row>
    <row r="160" spans="2:22" s="64" customFormat="1" ht="12.95" customHeight="1" x14ac:dyDescent="0.2">
      <c r="B160" s="84"/>
      <c r="C160" s="139"/>
      <c r="D160" s="139"/>
    </row>
    <row r="161" spans="2:22" s="64" customFormat="1" ht="12.95" customHeight="1" x14ac:dyDescent="0.2">
      <c r="B161" s="84"/>
      <c r="C161" s="139"/>
      <c r="D161" s="139"/>
      <c r="V161" s="74"/>
    </row>
    <row r="162" spans="2:22" s="64" customFormat="1" ht="12.95" customHeight="1" x14ac:dyDescent="0.2">
      <c r="B162" s="84"/>
      <c r="C162" s="139"/>
      <c r="D162" s="139"/>
    </row>
    <row r="163" spans="2:22" s="64" customFormat="1" ht="12.95" customHeight="1" x14ac:dyDescent="0.2">
      <c r="B163" s="84"/>
      <c r="C163" s="139"/>
      <c r="D163" s="139"/>
      <c r="V163" s="74"/>
    </row>
    <row r="164" spans="2:22" s="64" customFormat="1" ht="12.95" customHeight="1" x14ac:dyDescent="0.2">
      <c r="B164" s="84"/>
      <c r="C164" s="139"/>
      <c r="D164" s="139"/>
    </row>
    <row r="165" spans="2:22" s="64" customFormat="1" ht="12.95" customHeight="1" x14ac:dyDescent="0.2">
      <c r="B165" s="84"/>
      <c r="C165" s="139"/>
      <c r="D165" s="139"/>
      <c r="V165" s="74"/>
    </row>
    <row r="166" spans="2:22" s="64" customFormat="1" ht="12.95" customHeight="1" x14ac:dyDescent="0.2">
      <c r="B166" s="84"/>
      <c r="C166" s="139"/>
      <c r="D166" s="139"/>
    </row>
    <row r="167" spans="2:22" s="64" customFormat="1" ht="12.95" customHeight="1" x14ac:dyDescent="0.2">
      <c r="B167" s="84"/>
      <c r="C167" s="139"/>
      <c r="D167" s="139"/>
      <c r="V167" s="74"/>
    </row>
    <row r="168" spans="2:22" s="64" customFormat="1" ht="12.95" customHeight="1" x14ac:dyDescent="0.2">
      <c r="B168" s="84"/>
      <c r="C168" s="139"/>
      <c r="D168" s="139"/>
    </row>
    <row r="169" spans="2:22" s="64" customFormat="1" ht="12.95" customHeight="1" x14ac:dyDescent="0.2">
      <c r="B169" s="84"/>
      <c r="C169" s="139"/>
      <c r="D169" s="139"/>
      <c r="V169" s="74"/>
    </row>
    <row r="170" spans="2:22" s="64" customFormat="1" ht="12.95" customHeight="1" x14ac:dyDescent="0.2">
      <c r="B170" s="84"/>
      <c r="C170" s="139"/>
      <c r="D170" s="139"/>
    </row>
    <row r="171" spans="2:22" s="64" customFormat="1" ht="12.95" customHeight="1" x14ac:dyDescent="0.2">
      <c r="B171" s="84"/>
      <c r="C171" s="139"/>
      <c r="D171" s="139"/>
      <c r="V171" s="74"/>
    </row>
    <row r="172" spans="2:22" s="64" customFormat="1" ht="12.95" customHeight="1" x14ac:dyDescent="0.2">
      <c r="B172" s="84"/>
      <c r="C172" s="139"/>
      <c r="D172" s="139"/>
    </row>
    <row r="173" spans="2:22" s="64" customFormat="1" ht="12.95" customHeight="1" x14ac:dyDescent="0.2">
      <c r="B173" s="84"/>
      <c r="C173" s="139"/>
      <c r="D173" s="139"/>
      <c r="V173" s="74"/>
    </row>
    <row r="174" spans="2:22" s="64" customFormat="1" ht="12.95" customHeight="1" x14ac:dyDescent="0.2">
      <c r="B174" s="84"/>
      <c r="C174" s="139"/>
      <c r="D174" s="139"/>
    </row>
    <row r="175" spans="2:22" s="64" customFormat="1" ht="12.95" customHeight="1" x14ac:dyDescent="0.2">
      <c r="B175" s="84"/>
      <c r="C175" s="139"/>
      <c r="D175" s="139"/>
      <c r="V175" s="74"/>
    </row>
    <row r="176" spans="2:22" s="64" customFormat="1" ht="12.95" customHeight="1" x14ac:dyDescent="0.2">
      <c r="B176" s="84"/>
      <c r="C176" s="139"/>
      <c r="D176" s="139"/>
    </row>
    <row r="177" spans="2:22" s="64" customFormat="1" ht="12.95" customHeight="1" x14ac:dyDescent="0.2">
      <c r="B177" s="84"/>
      <c r="C177" s="139"/>
      <c r="D177" s="139"/>
      <c r="V177" s="74"/>
    </row>
    <row r="178" spans="2:22" s="64" customFormat="1" ht="12.95" customHeight="1" x14ac:dyDescent="0.2">
      <c r="B178" s="84"/>
      <c r="C178" s="139"/>
      <c r="D178" s="139"/>
    </row>
    <row r="179" spans="2:22" s="64" customFormat="1" ht="12.95" customHeight="1" x14ac:dyDescent="0.2">
      <c r="B179" s="84"/>
      <c r="C179" s="139"/>
      <c r="D179" s="139"/>
      <c r="V179" s="74"/>
    </row>
    <row r="180" spans="2:22" s="64" customFormat="1" ht="12.95" customHeight="1" x14ac:dyDescent="0.2">
      <c r="B180" s="84"/>
      <c r="C180" s="139"/>
      <c r="D180" s="139"/>
    </row>
    <row r="181" spans="2:22" s="64" customFormat="1" ht="12.95" customHeight="1" x14ac:dyDescent="0.2">
      <c r="B181" s="84"/>
      <c r="C181" s="139"/>
      <c r="D181" s="139"/>
      <c r="V181" s="74"/>
    </row>
    <row r="182" spans="2:22" s="64" customFormat="1" ht="12.95" customHeight="1" x14ac:dyDescent="0.2">
      <c r="B182" s="84"/>
      <c r="C182" s="139"/>
      <c r="D182" s="139"/>
    </row>
    <row r="183" spans="2:22" s="64" customFormat="1" ht="12.95" customHeight="1" x14ac:dyDescent="0.2">
      <c r="B183" s="84"/>
      <c r="C183" s="139"/>
      <c r="D183" s="139"/>
      <c r="V183" s="74"/>
    </row>
    <row r="184" spans="2:22" s="64" customFormat="1" ht="12.95" customHeight="1" x14ac:dyDescent="0.2">
      <c r="B184" s="84"/>
      <c r="C184" s="139"/>
      <c r="D184" s="139"/>
    </row>
    <row r="185" spans="2:22" s="64" customFormat="1" ht="12.95" customHeight="1" x14ac:dyDescent="0.2">
      <c r="B185" s="84"/>
      <c r="C185" s="139"/>
      <c r="D185" s="139"/>
      <c r="V185" s="74"/>
    </row>
    <row r="186" spans="2:22" s="64" customFormat="1" ht="12.95" customHeight="1" x14ac:dyDescent="0.2">
      <c r="B186" s="84"/>
      <c r="C186" s="139"/>
      <c r="D186" s="139"/>
    </row>
    <row r="187" spans="2:22" s="64" customFormat="1" ht="12.95" customHeight="1" x14ac:dyDescent="0.2">
      <c r="B187" s="84"/>
      <c r="C187" s="139"/>
      <c r="D187" s="139"/>
      <c r="V187" s="74"/>
    </row>
    <row r="188" spans="2:22" s="64" customFormat="1" ht="12.95" customHeight="1" x14ac:dyDescent="0.2">
      <c r="B188" s="84"/>
      <c r="C188" s="139"/>
      <c r="D188" s="139"/>
    </row>
    <row r="189" spans="2:22" s="64" customFormat="1" ht="12.95" customHeight="1" x14ac:dyDescent="0.2">
      <c r="B189" s="84"/>
      <c r="C189" s="139"/>
      <c r="D189" s="139"/>
      <c r="V189" s="74"/>
    </row>
    <row r="190" spans="2:22" s="64" customFormat="1" ht="12.95" customHeight="1" x14ac:dyDescent="0.2">
      <c r="B190" s="84"/>
      <c r="C190" s="139"/>
      <c r="D190" s="139"/>
    </row>
    <row r="191" spans="2:22" s="64" customFormat="1" ht="12.95" customHeight="1" x14ac:dyDescent="0.2">
      <c r="B191" s="84"/>
      <c r="C191" s="139"/>
      <c r="D191" s="139"/>
      <c r="V191" s="74"/>
    </row>
    <row r="192" spans="2:22" s="64" customFormat="1" ht="12.95" customHeight="1" x14ac:dyDescent="0.2">
      <c r="B192" s="84"/>
      <c r="C192" s="139"/>
      <c r="D192" s="139"/>
    </row>
    <row r="193" spans="2:22" s="64" customFormat="1" ht="12.95" customHeight="1" x14ac:dyDescent="0.2">
      <c r="B193" s="84"/>
      <c r="C193" s="139"/>
      <c r="D193" s="139"/>
      <c r="V193" s="74"/>
    </row>
    <row r="194" spans="2:22" s="64" customFormat="1" ht="12.95" customHeight="1" x14ac:dyDescent="0.2">
      <c r="B194" s="84"/>
      <c r="C194" s="139"/>
      <c r="D194" s="139"/>
    </row>
    <row r="195" spans="2:22" s="64" customFormat="1" ht="12.95" customHeight="1" x14ac:dyDescent="0.2">
      <c r="B195" s="84"/>
      <c r="C195" s="139"/>
      <c r="D195" s="139"/>
      <c r="V195" s="74"/>
    </row>
    <row r="196" spans="2:22" s="64" customFormat="1" ht="12.95" customHeight="1" x14ac:dyDescent="0.2">
      <c r="B196" s="84"/>
      <c r="C196" s="139"/>
      <c r="D196" s="139"/>
    </row>
    <row r="197" spans="2:22" s="64" customFormat="1" ht="12.95" customHeight="1" x14ac:dyDescent="0.2">
      <c r="B197" s="84"/>
      <c r="C197" s="139"/>
      <c r="D197" s="139"/>
      <c r="V197" s="74"/>
    </row>
    <row r="198" spans="2:22" s="64" customFormat="1" ht="12.95" customHeight="1" x14ac:dyDescent="0.2">
      <c r="B198" s="84"/>
      <c r="C198" s="139"/>
      <c r="D198" s="139"/>
    </row>
    <row r="199" spans="2:22" s="64" customFormat="1" ht="12.95" customHeight="1" x14ac:dyDescent="0.2">
      <c r="B199" s="84"/>
      <c r="C199" s="139"/>
      <c r="D199" s="139"/>
      <c r="V199" s="74"/>
    </row>
    <row r="200" spans="2:22" s="64" customFormat="1" ht="12.95" customHeight="1" x14ac:dyDescent="0.2">
      <c r="B200" s="84"/>
      <c r="C200" s="139"/>
      <c r="D200" s="139"/>
    </row>
    <row r="201" spans="2:22" s="64" customFormat="1" ht="12.95" customHeight="1" x14ac:dyDescent="0.2">
      <c r="B201" s="84"/>
      <c r="C201" s="139"/>
      <c r="D201" s="139"/>
      <c r="V201" s="74"/>
    </row>
    <row r="202" spans="2:22" s="64" customFormat="1" ht="12.95" customHeight="1" x14ac:dyDescent="0.2">
      <c r="B202" s="84"/>
      <c r="C202" s="139"/>
      <c r="D202" s="139"/>
    </row>
    <row r="203" spans="2:22" s="64" customFormat="1" ht="12.95" customHeight="1" x14ac:dyDescent="0.2">
      <c r="B203" s="84"/>
      <c r="C203" s="139"/>
      <c r="D203" s="139"/>
      <c r="V203" s="74"/>
    </row>
    <row r="204" spans="2:22" s="64" customFormat="1" ht="12.95" customHeight="1" x14ac:dyDescent="0.2">
      <c r="B204" s="84"/>
      <c r="C204" s="139"/>
      <c r="D204" s="139"/>
    </row>
    <row r="205" spans="2:22" s="64" customFormat="1" ht="12.95" customHeight="1" x14ac:dyDescent="0.2">
      <c r="B205" s="84"/>
      <c r="C205" s="139"/>
      <c r="D205" s="139"/>
      <c r="V205" s="74"/>
    </row>
    <row r="206" spans="2:22" s="64" customFormat="1" ht="12.95" customHeight="1" x14ac:dyDescent="0.2">
      <c r="B206" s="84"/>
      <c r="C206" s="139"/>
      <c r="D206" s="139"/>
    </row>
    <row r="207" spans="2:22" s="64" customFormat="1" ht="12.95" customHeight="1" x14ac:dyDescent="0.2">
      <c r="B207" s="84"/>
      <c r="C207" s="139"/>
      <c r="D207" s="139"/>
      <c r="V207" s="74"/>
    </row>
    <row r="208" spans="2:22" s="64" customFormat="1" ht="12.95" customHeight="1" x14ac:dyDescent="0.2">
      <c r="B208" s="84"/>
      <c r="C208" s="139"/>
      <c r="D208" s="139"/>
    </row>
    <row r="209" spans="2:22" s="64" customFormat="1" ht="12.95" customHeight="1" x14ac:dyDescent="0.2">
      <c r="B209" s="84"/>
      <c r="C209" s="139"/>
      <c r="D209" s="139"/>
      <c r="V209" s="74"/>
    </row>
    <row r="210" spans="2:22" s="64" customFormat="1" ht="12.95" customHeight="1" x14ac:dyDescent="0.2">
      <c r="B210" s="84"/>
      <c r="C210" s="139"/>
      <c r="D210" s="139"/>
    </row>
    <row r="211" spans="2:22" s="64" customFormat="1" ht="12.95" customHeight="1" x14ac:dyDescent="0.2">
      <c r="B211" s="84"/>
      <c r="C211" s="139"/>
      <c r="D211" s="139"/>
      <c r="V211" s="74"/>
    </row>
    <row r="212" spans="2:22" s="64" customFormat="1" ht="12.95" customHeight="1" x14ac:dyDescent="0.2">
      <c r="B212" s="84"/>
      <c r="C212" s="139"/>
      <c r="D212" s="139"/>
    </row>
    <row r="213" spans="2:22" s="64" customFormat="1" ht="12.95" customHeight="1" x14ac:dyDescent="0.2">
      <c r="B213" s="84"/>
      <c r="C213" s="139"/>
      <c r="D213" s="139"/>
      <c r="V213" s="74"/>
    </row>
    <row r="214" spans="2:22" s="64" customFormat="1" ht="12.95" customHeight="1" x14ac:dyDescent="0.2">
      <c r="B214" s="84"/>
      <c r="C214" s="139"/>
      <c r="D214" s="139"/>
    </row>
    <row r="215" spans="2:22" s="64" customFormat="1" ht="12.95" customHeight="1" x14ac:dyDescent="0.2">
      <c r="B215" s="84"/>
      <c r="C215" s="139"/>
      <c r="D215" s="139"/>
      <c r="V215" s="74"/>
    </row>
    <row r="216" spans="2:22" s="64" customFormat="1" ht="12.95" customHeight="1" x14ac:dyDescent="0.2">
      <c r="B216" s="84"/>
      <c r="C216" s="139"/>
      <c r="D216" s="139"/>
    </row>
    <row r="217" spans="2:22" s="64" customFormat="1" ht="12.95" customHeight="1" x14ac:dyDescent="0.2">
      <c r="B217" s="84"/>
      <c r="C217" s="139"/>
      <c r="D217" s="139"/>
      <c r="V217" s="74"/>
    </row>
    <row r="218" spans="2:22" s="64" customFormat="1" ht="12.95" customHeight="1" x14ac:dyDescent="0.2">
      <c r="B218" s="84"/>
      <c r="C218" s="139"/>
      <c r="D218" s="139"/>
    </row>
    <row r="219" spans="2:22" s="64" customFormat="1" ht="12.95" customHeight="1" x14ac:dyDescent="0.2">
      <c r="B219" s="84"/>
      <c r="C219" s="139"/>
      <c r="D219" s="139"/>
      <c r="V219" s="74"/>
    </row>
    <row r="220" spans="2:22" s="64" customFormat="1" ht="12.95" customHeight="1" x14ac:dyDescent="0.2">
      <c r="B220" s="84"/>
      <c r="C220" s="139"/>
      <c r="D220" s="139"/>
    </row>
    <row r="221" spans="2:22" s="64" customFormat="1" ht="12.95" customHeight="1" x14ac:dyDescent="0.2">
      <c r="B221" s="84"/>
      <c r="C221" s="139"/>
      <c r="D221" s="139"/>
      <c r="V221" s="74"/>
    </row>
    <row r="222" spans="2:22" s="64" customFormat="1" ht="12.95" customHeight="1" x14ac:dyDescent="0.2">
      <c r="B222" s="84"/>
      <c r="C222" s="139"/>
      <c r="D222" s="139"/>
    </row>
    <row r="223" spans="2:22" s="64" customFormat="1" ht="12.95" customHeight="1" x14ac:dyDescent="0.2">
      <c r="B223" s="84"/>
      <c r="C223" s="139"/>
      <c r="D223" s="139"/>
      <c r="V223" s="74"/>
    </row>
    <row r="224" spans="2:22" s="64" customFormat="1" ht="12.95" customHeight="1" x14ac:dyDescent="0.2">
      <c r="B224" s="84"/>
      <c r="C224" s="139"/>
      <c r="D224" s="139"/>
    </row>
    <row r="225" spans="2:22" s="64" customFormat="1" ht="12.95" customHeight="1" x14ac:dyDescent="0.2">
      <c r="B225" s="84"/>
      <c r="C225" s="139"/>
      <c r="D225" s="139"/>
      <c r="V225" s="74"/>
    </row>
    <row r="226" spans="2:22" s="64" customFormat="1" ht="12.95" customHeight="1" x14ac:dyDescent="0.2">
      <c r="B226" s="84"/>
      <c r="C226" s="139"/>
      <c r="D226" s="139"/>
    </row>
    <row r="227" spans="2:22" s="64" customFormat="1" ht="12.95" customHeight="1" x14ac:dyDescent="0.2">
      <c r="B227" s="84"/>
      <c r="C227" s="139"/>
      <c r="D227" s="139"/>
      <c r="V227" s="74"/>
    </row>
    <row r="228" spans="2:22" s="64" customFormat="1" ht="12.95" customHeight="1" x14ac:dyDescent="0.2">
      <c r="B228" s="84"/>
      <c r="C228" s="139"/>
      <c r="D228" s="139"/>
    </row>
    <row r="229" spans="2:22" s="64" customFormat="1" ht="12.95" customHeight="1" x14ac:dyDescent="0.2">
      <c r="B229" s="84"/>
      <c r="C229" s="139"/>
      <c r="D229" s="139"/>
      <c r="V229" s="74"/>
    </row>
    <row r="230" spans="2:22" s="64" customFormat="1" ht="12.95" customHeight="1" x14ac:dyDescent="0.2">
      <c r="B230" s="84"/>
      <c r="C230" s="139"/>
      <c r="D230" s="139"/>
    </row>
    <row r="231" spans="2:22" s="64" customFormat="1" ht="12.95" customHeight="1" x14ac:dyDescent="0.2">
      <c r="B231" s="84"/>
      <c r="V231" s="74"/>
    </row>
    <row r="232" spans="2:22" s="64" customFormat="1" ht="12.95" customHeight="1" x14ac:dyDescent="0.2">
      <c r="B232" s="84"/>
    </row>
    <row r="233" spans="2:22" s="64" customFormat="1" ht="12.95" customHeight="1" x14ac:dyDescent="0.2">
      <c r="B233" s="84"/>
      <c r="V233" s="74"/>
    </row>
    <row r="234" spans="2:22" s="64" customFormat="1" ht="12.95" customHeight="1" x14ac:dyDescent="0.2">
      <c r="B234" s="84"/>
    </row>
    <row r="235" spans="2:22" s="64" customFormat="1" ht="12.95" customHeight="1" x14ac:dyDescent="0.2">
      <c r="B235" s="84"/>
      <c r="V235" s="74"/>
    </row>
    <row r="236" spans="2:22" s="64" customFormat="1" ht="12.95" customHeight="1" x14ac:dyDescent="0.2">
      <c r="B236" s="84"/>
    </row>
    <row r="237" spans="2:22" s="64" customFormat="1" ht="12.95" customHeight="1" x14ac:dyDescent="0.2">
      <c r="B237" s="84"/>
      <c r="V237" s="74"/>
    </row>
    <row r="238" spans="2:22" s="64" customFormat="1" ht="12.95" customHeight="1" x14ac:dyDescent="0.2">
      <c r="B238" s="84"/>
    </row>
    <row r="239" spans="2:22" s="64" customFormat="1" ht="12.95" customHeight="1" x14ac:dyDescent="0.2">
      <c r="B239" s="84"/>
      <c r="V239" s="74"/>
    </row>
    <row r="240" spans="2:22" s="64" customFormat="1" ht="12.95" customHeight="1" x14ac:dyDescent="0.2">
      <c r="B240" s="84"/>
    </row>
    <row r="241" spans="2:22" s="64" customFormat="1" ht="12.95" customHeight="1" x14ac:dyDescent="0.2">
      <c r="B241" s="84"/>
      <c r="V241" s="74"/>
    </row>
    <row r="242" spans="2:22" s="64" customFormat="1" ht="12.95" customHeight="1" x14ac:dyDescent="0.2">
      <c r="B242" s="84"/>
    </row>
    <row r="243" spans="2:22" s="64" customFormat="1" ht="12.95" customHeight="1" x14ac:dyDescent="0.2">
      <c r="B243" s="84"/>
      <c r="V243" s="74"/>
    </row>
    <row r="244" spans="2:22" s="64" customFormat="1" ht="12.95" customHeight="1" x14ac:dyDescent="0.2">
      <c r="B244" s="84"/>
    </row>
    <row r="245" spans="2:22" s="64" customFormat="1" ht="12.95" customHeight="1" x14ac:dyDescent="0.2">
      <c r="B245" s="84"/>
      <c r="V245" s="74"/>
    </row>
    <row r="246" spans="2:22" s="64" customFormat="1" ht="12.95" customHeight="1" x14ac:dyDescent="0.2">
      <c r="B246" s="84"/>
    </row>
    <row r="247" spans="2:22" s="64" customFormat="1" ht="12.95" customHeight="1" x14ac:dyDescent="0.2">
      <c r="B247" s="84"/>
      <c r="V247" s="74"/>
    </row>
    <row r="248" spans="2:22" s="64" customFormat="1" ht="12.95" customHeight="1" x14ac:dyDescent="0.2">
      <c r="B248" s="84"/>
    </row>
    <row r="249" spans="2:22" s="64" customFormat="1" ht="12.95" customHeight="1" x14ac:dyDescent="0.2">
      <c r="B249" s="84"/>
      <c r="V249" s="74"/>
    </row>
    <row r="250" spans="2:22" s="64" customFormat="1" ht="12.95" customHeight="1" x14ac:dyDescent="0.2">
      <c r="B250" s="84"/>
    </row>
    <row r="251" spans="2:22" s="64" customFormat="1" ht="12.95" customHeight="1" x14ac:dyDescent="0.2">
      <c r="B251" s="84"/>
      <c r="V251" s="74"/>
    </row>
    <row r="252" spans="2:22" s="64" customFormat="1" ht="12.95" customHeight="1" x14ac:dyDescent="0.2">
      <c r="B252" s="84"/>
    </row>
    <row r="253" spans="2:22" s="64" customFormat="1" ht="12.95" customHeight="1" x14ac:dyDescent="0.2">
      <c r="B253" s="84"/>
      <c r="V253" s="74"/>
    </row>
    <row r="254" spans="2:22" s="64" customFormat="1" ht="12.95" customHeight="1" x14ac:dyDescent="0.2">
      <c r="B254" s="84"/>
    </row>
    <row r="255" spans="2:22" s="64" customFormat="1" ht="12.95" customHeight="1" x14ac:dyDescent="0.2">
      <c r="B255" s="84"/>
      <c r="V255" s="74"/>
    </row>
    <row r="256" spans="2:22" s="64" customFormat="1" ht="12.95" customHeight="1" x14ac:dyDescent="0.2">
      <c r="B256" s="84"/>
    </row>
    <row r="257" spans="2:22" s="64" customFormat="1" ht="12.95" customHeight="1" x14ac:dyDescent="0.2">
      <c r="B257" s="84"/>
      <c r="V257" s="74"/>
    </row>
    <row r="258" spans="2:22" s="64" customFormat="1" ht="12.95" customHeight="1" x14ac:dyDescent="0.2">
      <c r="B258" s="84"/>
    </row>
    <row r="259" spans="2:22" s="64" customFormat="1" ht="12.95" customHeight="1" x14ac:dyDescent="0.2">
      <c r="B259" s="84"/>
      <c r="V259" s="74"/>
    </row>
    <row r="260" spans="2:22" s="64" customFormat="1" ht="12.95" customHeight="1" x14ac:dyDescent="0.2">
      <c r="B260" s="84"/>
    </row>
    <row r="261" spans="2:22" s="64" customFormat="1" ht="12.95" customHeight="1" x14ac:dyDescent="0.2">
      <c r="B261" s="84"/>
      <c r="V261" s="74"/>
    </row>
    <row r="262" spans="2:22" s="64" customFormat="1" ht="12.95" customHeight="1" x14ac:dyDescent="0.2">
      <c r="B262" s="84"/>
    </row>
    <row r="263" spans="2:22" s="64" customFormat="1" ht="12.95" customHeight="1" x14ac:dyDescent="0.2">
      <c r="B263" s="84"/>
      <c r="V263" s="74"/>
    </row>
    <row r="264" spans="2:22" s="64" customFormat="1" ht="12.95" customHeight="1" x14ac:dyDescent="0.2">
      <c r="B264" s="84"/>
    </row>
    <row r="265" spans="2:22" s="64" customFormat="1" ht="12.95" customHeight="1" x14ac:dyDescent="0.2">
      <c r="B265" s="84"/>
      <c r="V265" s="74"/>
    </row>
    <row r="266" spans="2:22" s="64" customFormat="1" ht="12.95" customHeight="1" x14ac:dyDescent="0.2">
      <c r="B266" s="84"/>
    </row>
    <row r="267" spans="2:22" s="64" customFormat="1" ht="12.95" customHeight="1" x14ac:dyDescent="0.2">
      <c r="B267" s="84"/>
      <c r="V267" s="74"/>
    </row>
    <row r="268" spans="2:22" s="64" customFormat="1" ht="12.95" customHeight="1" x14ac:dyDescent="0.2">
      <c r="B268" s="84"/>
    </row>
    <row r="269" spans="2:22" s="64" customFormat="1" ht="12.95" customHeight="1" x14ac:dyDescent="0.2">
      <c r="B269" s="84"/>
      <c r="V269" s="74"/>
    </row>
    <row r="270" spans="2:22" s="64" customFormat="1" ht="12.95" customHeight="1" x14ac:dyDescent="0.2">
      <c r="B270" s="84"/>
    </row>
    <row r="271" spans="2:22" s="64" customFormat="1" ht="12.95" customHeight="1" x14ac:dyDescent="0.2">
      <c r="B271" s="84"/>
      <c r="V271" s="74"/>
    </row>
    <row r="272" spans="2:22" s="64" customFormat="1" ht="12.95" customHeight="1" x14ac:dyDescent="0.2">
      <c r="B272" s="84"/>
    </row>
    <row r="273" spans="2:22" s="64" customFormat="1" ht="12.95" customHeight="1" x14ac:dyDescent="0.2">
      <c r="B273" s="84"/>
      <c r="V273" s="74"/>
    </row>
    <row r="274" spans="2:22" s="64" customFormat="1" ht="12.95" customHeight="1" x14ac:dyDescent="0.2">
      <c r="B274" s="84"/>
    </row>
    <row r="275" spans="2:22" s="64" customFormat="1" ht="12.95" customHeight="1" x14ac:dyDescent="0.2">
      <c r="B275" s="84"/>
      <c r="V275" s="74"/>
    </row>
    <row r="276" spans="2:22" s="64" customFormat="1" ht="12.95" customHeight="1" x14ac:dyDescent="0.2">
      <c r="B276" s="84"/>
    </row>
    <row r="277" spans="2:22" s="64" customFormat="1" ht="12.95" customHeight="1" x14ac:dyDescent="0.2">
      <c r="B277" s="84"/>
      <c r="V277" s="74"/>
    </row>
    <row r="278" spans="2:22" s="64" customFormat="1" ht="12.95" customHeight="1" x14ac:dyDescent="0.2">
      <c r="B278" s="84"/>
    </row>
    <row r="279" spans="2:22" s="64" customFormat="1" ht="12.95" customHeight="1" x14ac:dyDescent="0.2">
      <c r="B279" s="84"/>
      <c r="V279" s="74"/>
    </row>
    <row r="280" spans="2:22" s="64" customFormat="1" ht="12.95" customHeight="1" x14ac:dyDescent="0.2">
      <c r="B280" s="84"/>
    </row>
    <row r="281" spans="2:22" s="64" customFormat="1" ht="12.95" customHeight="1" x14ac:dyDescent="0.2">
      <c r="B281" s="84"/>
      <c r="V281" s="74"/>
    </row>
    <row r="282" spans="2:22" s="64" customFormat="1" ht="12.95" customHeight="1" x14ac:dyDescent="0.2">
      <c r="B282" s="84"/>
    </row>
    <row r="283" spans="2:22" s="64" customFormat="1" ht="12.95" customHeight="1" x14ac:dyDescent="0.2">
      <c r="B283" s="84"/>
      <c r="V283" s="74"/>
    </row>
    <row r="284" spans="2:22" s="64" customFormat="1" ht="12.95" customHeight="1" x14ac:dyDescent="0.2">
      <c r="B284" s="84"/>
    </row>
    <row r="285" spans="2:22" s="64" customFormat="1" ht="12.95" customHeight="1" x14ac:dyDescent="0.2">
      <c r="B285" s="84"/>
      <c r="V285" s="74"/>
    </row>
    <row r="286" spans="2:22" s="64" customFormat="1" ht="12.95" customHeight="1" x14ac:dyDescent="0.2">
      <c r="B286" s="84"/>
    </row>
    <row r="287" spans="2:22" s="64" customFormat="1" ht="12.95" customHeight="1" x14ac:dyDescent="0.2">
      <c r="B287" s="84"/>
      <c r="V287" s="74"/>
    </row>
    <row r="288" spans="2:22" s="64" customFormat="1" ht="12.95" customHeight="1" x14ac:dyDescent="0.2">
      <c r="B288" s="84"/>
    </row>
    <row r="289" spans="2:22" s="64" customFormat="1" ht="12.95" customHeight="1" x14ac:dyDescent="0.2">
      <c r="B289" s="84"/>
      <c r="V289" s="74"/>
    </row>
    <row r="290" spans="2:22" s="64" customFormat="1" ht="12.95" customHeight="1" x14ac:dyDescent="0.2">
      <c r="B290" s="84"/>
    </row>
    <row r="291" spans="2:22" s="64" customFormat="1" ht="12.95" customHeight="1" x14ac:dyDescent="0.2">
      <c r="B291" s="84"/>
      <c r="V291" s="74"/>
    </row>
    <row r="292" spans="2:22" s="64" customFormat="1" ht="12.95" customHeight="1" x14ac:dyDescent="0.2">
      <c r="B292" s="84"/>
    </row>
    <row r="293" spans="2:22" s="64" customFormat="1" ht="12.95" customHeight="1" x14ac:dyDescent="0.2">
      <c r="B293" s="84"/>
      <c r="V293" s="74"/>
    </row>
    <row r="294" spans="2:22" s="64" customFormat="1" ht="12.95" customHeight="1" x14ac:dyDescent="0.2">
      <c r="B294" s="84"/>
    </row>
    <row r="295" spans="2:22" s="64" customFormat="1" ht="12.95" customHeight="1" x14ac:dyDescent="0.2">
      <c r="B295" s="84"/>
      <c r="V295" s="74"/>
    </row>
    <row r="296" spans="2:22" s="64" customFormat="1" ht="12.95" customHeight="1" x14ac:dyDescent="0.2">
      <c r="B296" s="84"/>
    </row>
    <row r="297" spans="2:22" s="64" customFormat="1" ht="12.95" customHeight="1" x14ac:dyDescent="0.2">
      <c r="B297" s="84"/>
      <c r="V297" s="74"/>
    </row>
    <row r="298" spans="2:22" s="64" customFormat="1" ht="12.95" customHeight="1" x14ac:dyDescent="0.2">
      <c r="B298" s="84"/>
    </row>
    <row r="299" spans="2:22" s="64" customFormat="1" ht="12.95" customHeight="1" x14ac:dyDescent="0.2">
      <c r="B299" s="84"/>
      <c r="V299" s="74"/>
    </row>
    <row r="300" spans="2:22" s="64" customFormat="1" ht="12.95" customHeight="1" x14ac:dyDescent="0.2">
      <c r="B300" s="84"/>
    </row>
    <row r="301" spans="2:22" s="64" customFormat="1" ht="12.95" customHeight="1" x14ac:dyDescent="0.2">
      <c r="B301" s="84"/>
      <c r="V301" s="74"/>
    </row>
    <row r="302" spans="2:22" s="64" customFormat="1" ht="12.95" customHeight="1" x14ac:dyDescent="0.2">
      <c r="B302" s="84"/>
    </row>
    <row r="303" spans="2:22" s="64" customFormat="1" ht="12.95" customHeight="1" x14ac:dyDescent="0.2">
      <c r="B303" s="84"/>
      <c r="V303" s="74"/>
    </row>
    <row r="304" spans="2:22" s="64" customFormat="1" ht="12.95" customHeight="1" x14ac:dyDescent="0.2">
      <c r="B304" s="84"/>
    </row>
    <row r="305" spans="2:22" s="64" customFormat="1" ht="12.95" customHeight="1" x14ac:dyDescent="0.2">
      <c r="B305" s="84"/>
      <c r="V305" s="74"/>
    </row>
    <row r="306" spans="2:22" s="64" customFormat="1" ht="12.95" customHeight="1" x14ac:dyDescent="0.2">
      <c r="B306" s="84"/>
    </row>
    <row r="307" spans="2:22" s="64" customFormat="1" ht="12.95" customHeight="1" x14ac:dyDescent="0.2">
      <c r="B307" s="84"/>
      <c r="V307" s="74"/>
    </row>
    <row r="308" spans="2:22" s="64" customFormat="1" ht="12.95" customHeight="1" x14ac:dyDescent="0.2">
      <c r="B308" s="84"/>
    </row>
    <row r="309" spans="2:22" s="64" customFormat="1" ht="12.95" customHeight="1" x14ac:dyDescent="0.2">
      <c r="B309" s="84"/>
      <c r="V309" s="74"/>
    </row>
    <row r="310" spans="2:22" s="64" customFormat="1" ht="12.95" customHeight="1" x14ac:dyDescent="0.2">
      <c r="B310" s="84"/>
    </row>
    <row r="311" spans="2:22" s="64" customFormat="1" ht="12.95" customHeight="1" x14ac:dyDescent="0.2">
      <c r="B311" s="84"/>
      <c r="V311" s="74"/>
    </row>
    <row r="312" spans="2:22" s="64" customFormat="1" ht="12.95" customHeight="1" x14ac:dyDescent="0.2">
      <c r="B312" s="84"/>
    </row>
    <row r="313" spans="2:22" s="64" customFormat="1" ht="12.95" customHeight="1" x14ac:dyDescent="0.2">
      <c r="B313" s="84"/>
      <c r="V313" s="74"/>
    </row>
    <row r="314" spans="2:22" s="64" customFormat="1" ht="12.95" customHeight="1" x14ac:dyDescent="0.2">
      <c r="B314" s="84"/>
    </row>
    <row r="315" spans="2:22" s="64" customFormat="1" ht="12.95" customHeight="1" x14ac:dyDescent="0.2">
      <c r="B315" s="84"/>
      <c r="V315" s="74"/>
    </row>
    <row r="316" spans="2:22" s="64" customFormat="1" ht="12.95" customHeight="1" x14ac:dyDescent="0.2">
      <c r="B316" s="84"/>
    </row>
    <row r="317" spans="2:22" s="64" customFormat="1" ht="12.95" customHeight="1" x14ac:dyDescent="0.2">
      <c r="B317" s="84"/>
      <c r="V317" s="74"/>
    </row>
    <row r="318" spans="2:22" s="64" customFormat="1" ht="12.95" customHeight="1" x14ac:dyDescent="0.2">
      <c r="B318" s="84"/>
    </row>
    <row r="319" spans="2:22" s="64" customFormat="1" ht="12.95" customHeight="1" x14ac:dyDescent="0.2">
      <c r="B319" s="84"/>
      <c r="V319" s="74"/>
    </row>
    <row r="320" spans="2:22" s="64" customFormat="1" ht="12.95" customHeight="1" x14ac:dyDescent="0.2">
      <c r="B320" s="84"/>
    </row>
    <row r="321" spans="2:22" s="64" customFormat="1" ht="12.95" customHeight="1" x14ac:dyDescent="0.2">
      <c r="B321" s="84"/>
      <c r="V321" s="74"/>
    </row>
    <row r="322" spans="2:22" s="64" customFormat="1" ht="12.95" customHeight="1" x14ac:dyDescent="0.2">
      <c r="B322" s="84"/>
    </row>
    <row r="323" spans="2:22" s="64" customFormat="1" ht="12.95" customHeight="1" x14ac:dyDescent="0.2">
      <c r="B323" s="84"/>
      <c r="V323" s="74"/>
    </row>
    <row r="324" spans="2:22" s="64" customFormat="1" ht="12.95" customHeight="1" x14ac:dyDescent="0.2">
      <c r="B324" s="84"/>
    </row>
    <row r="325" spans="2:22" s="64" customFormat="1" ht="12.95" customHeight="1" x14ac:dyDescent="0.2">
      <c r="B325" s="84"/>
      <c r="V325" s="74"/>
    </row>
    <row r="326" spans="2:22" s="64" customFormat="1" ht="12.95" customHeight="1" x14ac:dyDescent="0.2">
      <c r="B326" s="84"/>
    </row>
    <row r="327" spans="2:22" s="64" customFormat="1" ht="12.95" customHeight="1" x14ac:dyDescent="0.2">
      <c r="B327" s="84"/>
      <c r="V327" s="74"/>
    </row>
    <row r="328" spans="2:22" s="64" customFormat="1" ht="12.95" customHeight="1" x14ac:dyDescent="0.2">
      <c r="B328" s="84"/>
    </row>
    <row r="329" spans="2:22" s="64" customFormat="1" ht="12.95" customHeight="1" x14ac:dyDescent="0.2">
      <c r="B329" s="84"/>
      <c r="V329" s="74"/>
    </row>
    <row r="330" spans="2:22" s="64" customFormat="1" ht="12.95" customHeight="1" x14ac:dyDescent="0.2">
      <c r="B330" s="84"/>
    </row>
    <row r="331" spans="2:22" s="64" customFormat="1" ht="12.95" customHeight="1" x14ac:dyDescent="0.2">
      <c r="B331" s="84"/>
      <c r="V331" s="74"/>
    </row>
    <row r="332" spans="2:22" s="64" customFormat="1" ht="12.95" customHeight="1" x14ac:dyDescent="0.2">
      <c r="B332" s="84"/>
    </row>
    <row r="333" spans="2:22" s="64" customFormat="1" ht="12.95" customHeight="1" x14ac:dyDescent="0.2">
      <c r="B333" s="84"/>
      <c r="V333" s="74"/>
    </row>
    <row r="334" spans="2:22" s="64" customFormat="1" ht="12.95" customHeight="1" x14ac:dyDescent="0.2">
      <c r="B334" s="84"/>
    </row>
    <row r="335" spans="2:22" s="64" customFormat="1" ht="12.95" customHeight="1" x14ac:dyDescent="0.2">
      <c r="B335" s="84"/>
      <c r="V335" s="74"/>
    </row>
    <row r="336" spans="2:22" s="64" customFormat="1" ht="12.95" customHeight="1" x14ac:dyDescent="0.2">
      <c r="B336" s="84"/>
    </row>
    <row r="337" spans="2:22" s="64" customFormat="1" ht="12.95" customHeight="1" x14ac:dyDescent="0.2">
      <c r="B337" s="84"/>
      <c r="V337" s="74"/>
    </row>
    <row r="338" spans="2:22" s="64" customFormat="1" ht="12.95" customHeight="1" x14ac:dyDescent="0.2">
      <c r="B338" s="84"/>
    </row>
    <row r="339" spans="2:22" s="64" customFormat="1" ht="12.95" customHeight="1" x14ac:dyDescent="0.2">
      <c r="B339" s="84"/>
      <c r="V339" s="74"/>
    </row>
    <row r="340" spans="2:22" s="64" customFormat="1" ht="12.95" customHeight="1" x14ac:dyDescent="0.2">
      <c r="B340" s="84"/>
    </row>
    <row r="341" spans="2:22" s="64" customFormat="1" ht="12.95" customHeight="1" x14ac:dyDescent="0.2">
      <c r="B341" s="84"/>
      <c r="V341" s="74"/>
    </row>
    <row r="342" spans="2:22" s="64" customFormat="1" ht="12.95" customHeight="1" x14ac:dyDescent="0.2">
      <c r="B342" s="84"/>
    </row>
    <row r="343" spans="2:22" s="64" customFormat="1" ht="12.95" customHeight="1" x14ac:dyDescent="0.2">
      <c r="B343" s="84"/>
      <c r="V343" s="74"/>
    </row>
    <row r="344" spans="2:22" s="64" customFormat="1" ht="12.95" customHeight="1" x14ac:dyDescent="0.2">
      <c r="B344" s="84"/>
    </row>
    <row r="345" spans="2:22" s="64" customFormat="1" ht="12.95" customHeight="1" x14ac:dyDescent="0.2">
      <c r="B345" s="84"/>
      <c r="V345" s="74"/>
    </row>
    <row r="346" spans="2:22" s="64" customFormat="1" ht="12.95" customHeight="1" x14ac:dyDescent="0.2">
      <c r="B346" s="84"/>
    </row>
    <row r="347" spans="2:22" s="64" customFormat="1" ht="12.95" customHeight="1" x14ac:dyDescent="0.2">
      <c r="B347" s="84"/>
      <c r="V347" s="74"/>
    </row>
    <row r="348" spans="2:22" s="64" customFormat="1" ht="12.95" customHeight="1" x14ac:dyDescent="0.2">
      <c r="B348" s="84"/>
    </row>
    <row r="349" spans="2:22" s="64" customFormat="1" ht="12.95" customHeight="1" x14ac:dyDescent="0.2">
      <c r="B349" s="84"/>
      <c r="V349" s="74"/>
    </row>
    <row r="350" spans="2:22" s="64" customFormat="1" ht="12.95" customHeight="1" x14ac:dyDescent="0.2">
      <c r="B350" s="84"/>
    </row>
    <row r="351" spans="2:22" s="64" customFormat="1" ht="12.95" customHeight="1" x14ac:dyDescent="0.2">
      <c r="B351" s="84"/>
      <c r="V351" s="74"/>
    </row>
    <row r="352" spans="2:22" s="64" customFormat="1" ht="12.95" customHeight="1" x14ac:dyDescent="0.2">
      <c r="B352" s="84"/>
    </row>
    <row r="353" spans="2:22" s="64" customFormat="1" ht="12.95" customHeight="1" x14ac:dyDescent="0.2">
      <c r="B353" s="84"/>
      <c r="V353" s="74"/>
    </row>
    <row r="354" spans="2:22" s="64" customFormat="1" ht="12.95" customHeight="1" x14ac:dyDescent="0.2">
      <c r="B354" s="84"/>
    </row>
    <row r="355" spans="2:22" s="64" customFormat="1" ht="12.95" customHeight="1" x14ac:dyDescent="0.2">
      <c r="B355" s="84"/>
      <c r="V355" s="74"/>
    </row>
    <row r="356" spans="2:22" s="64" customFormat="1" ht="12.95" customHeight="1" x14ac:dyDescent="0.2">
      <c r="B356" s="84"/>
    </row>
    <row r="357" spans="2:22" s="64" customFormat="1" ht="12.95" customHeight="1" x14ac:dyDescent="0.2">
      <c r="B357" s="84"/>
      <c r="V357" s="74"/>
    </row>
    <row r="358" spans="2:22" s="64" customFormat="1" ht="12.95" customHeight="1" x14ac:dyDescent="0.2">
      <c r="B358" s="84"/>
    </row>
    <row r="359" spans="2:22" s="64" customFormat="1" ht="12.95" customHeight="1" x14ac:dyDescent="0.2">
      <c r="B359" s="84"/>
      <c r="V359" s="74"/>
    </row>
    <row r="360" spans="2:22" s="64" customFormat="1" ht="12.95" customHeight="1" x14ac:dyDescent="0.2">
      <c r="B360" s="84"/>
    </row>
    <row r="361" spans="2:22" s="64" customFormat="1" ht="12.95" customHeight="1" x14ac:dyDescent="0.2">
      <c r="B361" s="84"/>
      <c r="V361" s="74"/>
    </row>
    <row r="362" spans="2:22" s="64" customFormat="1" ht="12.95" customHeight="1" x14ac:dyDescent="0.2">
      <c r="B362" s="84"/>
    </row>
    <row r="363" spans="2:22" s="64" customFormat="1" ht="12.95" customHeight="1" x14ac:dyDescent="0.2">
      <c r="B363" s="84"/>
      <c r="V363" s="74"/>
    </row>
    <row r="364" spans="2:22" s="64" customFormat="1" ht="12.95" customHeight="1" x14ac:dyDescent="0.2">
      <c r="B364" s="84"/>
    </row>
    <row r="365" spans="2:22" s="64" customFormat="1" ht="12.95" customHeight="1" x14ac:dyDescent="0.2">
      <c r="B365" s="84"/>
      <c r="V365" s="74"/>
    </row>
    <row r="366" spans="2:22" s="64" customFormat="1" ht="12.95" customHeight="1" x14ac:dyDescent="0.2">
      <c r="B366" s="84"/>
    </row>
    <row r="367" spans="2:22" s="64" customFormat="1" ht="12.95" customHeight="1" x14ac:dyDescent="0.2">
      <c r="B367" s="84"/>
      <c r="V367" s="74"/>
    </row>
    <row r="368" spans="2:22" s="64" customFormat="1" ht="12.95" customHeight="1" x14ac:dyDescent="0.2">
      <c r="B368" s="84"/>
    </row>
    <row r="369" spans="2:22" s="64" customFormat="1" ht="12.95" customHeight="1" x14ac:dyDescent="0.2">
      <c r="B369" s="84"/>
      <c r="V369" s="74"/>
    </row>
    <row r="370" spans="2:22" s="64" customFormat="1" ht="12.95" customHeight="1" x14ac:dyDescent="0.2">
      <c r="B370" s="84"/>
    </row>
    <row r="371" spans="2:22" s="64" customFormat="1" ht="12.95" customHeight="1" x14ac:dyDescent="0.2">
      <c r="B371" s="84"/>
      <c r="V371" s="74"/>
    </row>
    <row r="372" spans="2:22" s="64" customFormat="1" ht="12.95" customHeight="1" x14ac:dyDescent="0.2">
      <c r="B372" s="84"/>
    </row>
    <row r="373" spans="2:22" s="64" customFormat="1" ht="12.95" customHeight="1" x14ac:dyDescent="0.2">
      <c r="B373" s="84"/>
      <c r="V373" s="74"/>
    </row>
    <row r="374" spans="2:22" s="64" customFormat="1" ht="12.95" customHeight="1" x14ac:dyDescent="0.2">
      <c r="B374" s="84"/>
    </row>
    <row r="375" spans="2:22" s="64" customFormat="1" ht="12.95" customHeight="1" x14ac:dyDescent="0.2">
      <c r="B375" s="84"/>
      <c r="V375" s="74"/>
    </row>
    <row r="376" spans="2:22" s="64" customFormat="1" ht="12.95" customHeight="1" x14ac:dyDescent="0.2">
      <c r="B376" s="84"/>
    </row>
    <row r="377" spans="2:22" s="64" customFormat="1" ht="12.95" customHeight="1" x14ac:dyDescent="0.2">
      <c r="B377" s="84"/>
      <c r="V377" s="74"/>
    </row>
    <row r="378" spans="2:22" s="64" customFormat="1" ht="12.95" customHeight="1" x14ac:dyDescent="0.2">
      <c r="B378" s="84"/>
    </row>
    <row r="379" spans="2:22" s="64" customFormat="1" ht="12.95" customHeight="1" x14ac:dyDescent="0.2">
      <c r="B379" s="84"/>
      <c r="V379" s="74"/>
    </row>
    <row r="380" spans="2:22" s="64" customFormat="1" ht="12.95" customHeight="1" x14ac:dyDescent="0.2">
      <c r="B380" s="84"/>
    </row>
    <row r="381" spans="2:22" s="64" customFormat="1" ht="12.95" customHeight="1" x14ac:dyDescent="0.2">
      <c r="B381" s="84"/>
      <c r="V381" s="74"/>
    </row>
    <row r="382" spans="2:22" s="64" customFormat="1" ht="12.95" customHeight="1" x14ac:dyDescent="0.2">
      <c r="B382" s="84"/>
    </row>
    <row r="383" spans="2:22" s="64" customFormat="1" ht="12.95" customHeight="1" x14ac:dyDescent="0.2">
      <c r="B383" s="84"/>
      <c r="V383" s="74"/>
    </row>
    <row r="384" spans="2:22" s="64" customFormat="1" ht="12.95" customHeight="1" x14ac:dyDescent="0.2">
      <c r="B384" s="84"/>
    </row>
    <row r="385" spans="2:22" s="64" customFormat="1" ht="12.95" customHeight="1" x14ac:dyDescent="0.2">
      <c r="B385" s="84"/>
      <c r="V385" s="74"/>
    </row>
    <row r="386" spans="2:22" s="64" customFormat="1" ht="12.95" customHeight="1" x14ac:dyDescent="0.2">
      <c r="B386" s="84"/>
    </row>
    <row r="387" spans="2:22" s="64" customFormat="1" ht="12.95" customHeight="1" x14ac:dyDescent="0.2">
      <c r="B387" s="84"/>
      <c r="V387" s="74"/>
    </row>
    <row r="388" spans="2:22" s="64" customFormat="1" ht="12.95" customHeight="1" x14ac:dyDescent="0.2">
      <c r="B388" s="84"/>
    </row>
    <row r="389" spans="2:22" s="64" customFormat="1" ht="12.95" customHeight="1" x14ac:dyDescent="0.2">
      <c r="B389" s="84"/>
      <c r="V389" s="74"/>
    </row>
    <row r="390" spans="2:22" s="64" customFormat="1" ht="12.95" customHeight="1" x14ac:dyDescent="0.2">
      <c r="B390" s="84"/>
    </row>
    <row r="391" spans="2:22" s="64" customFormat="1" ht="12.95" customHeight="1" x14ac:dyDescent="0.2">
      <c r="B391" s="84"/>
      <c r="V391" s="74"/>
    </row>
    <row r="392" spans="2:22" s="64" customFormat="1" ht="12.95" customHeight="1" x14ac:dyDescent="0.2">
      <c r="B392" s="84"/>
    </row>
    <row r="393" spans="2:22" s="64" customFormat="1" ht="12.95" customHeight="1" x14ac:dyDescent="0.2">
      <c r="B393" s="84"/>
      <c r="V393" s="74"/>
    </row>
    <row r="394" spans="2:22" s="64" customFormat="1" ht="12.95" customHeight="1" x14ac:dyDescent="0.2">
      <c r="B394" s="84"/>
    </row>
    <row r="395" spans="2:22" s="64" customFormat="1" ht="12.95" customHeight="1" x14ac:dyDescent="0.2">
      <c r="B395" s="84"/>
      <c r="V395" s="74"/>
    </row>
    <row r="396" spans="2:22" s="64" customFormat="1" ht="12.95" customHeight="1" x14ac:dyDescent="0.2">
      <c r="B396" s="84"/>
    </row>
    <row r="397" spans="2:22" s="64" customFormat="1" ht="12.95" customHeight="1" x14ac:dyDescent="0.2">
      <c r="B397" s="84"/>
      <c r="V397" s="74"/>
    </row>
    <row r="398" spans="2:22" s="64" customFormat="1" ht="12.95" customHeight="1" x14ac:dyDescent="0.2">
      <c r="B398" s="84"/>
    </row>
    <row r="399" spans="2:22" s="64" customFormat="1" ht="12.95" customHeight="1" x14ac:dyDescent="0.2">
      <c r="B399" s="84"/>
      <c r="V399" s="74"/>
    </row>
    <row r="400" spans="2:22" s="64" customFormat="1" ht="12.95" customHeight="1" x14ac:dyDescent="0.2">
      <c r="B400" s="84"/>
    </row>
    <row r="401" spans="2:22" s="64" customFormat="1" ht="12.95" customHeight="1" x14ac:dyDescent="0.2">
      <c r="B401" s="84"/>
      <c r="V401" s="74"/>
    </row>
    <row r="403" spans="2:22" x14ac:dyDescent="0.2">
      <c r="V403" s="2"/>
    </row>
    <row r="405" spans="2:22" x14ac:dyDescent="0.2">
      <c r="V405" s="2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9"/>
  <sheetViews>
    <sheetView topLeftCell="A40" workbookViewId="0">
      <selection activeCell="A63" sqref="A63:D76"/>
    </sheetView>
  </sheetViews>
  <sheetFormatPr defaultRowHeight="12.75" x14ac:dyDescent="0.2"/>
  <cols>
    <col min="1" max="1" width="19.7109375" style="10" customWidth="1"/>
    <col min="2" max="2" width="4.42578125" style="3" customWidth="1"/>
    <col min="3" max="3" width="12.7109375" style="10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10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46" t="s">
        <v>127</v>
      </c>
      <c r="I1" s="47" t="s">
        <v>63</v>
      </c>
      <c r="J1" s="48" t="s">
        <v>128</v>
      </c>
    </row>
    <row r="2" spans="1:16" x14ac:dyDescent="0.2">
      <c r="I2" s="49" t="s">
        <v>74</v>
      </c>
      <c r="J2" s="50" t="s">
        <v>129</v>
      </c>
    </row>
    <row r="3" spans="1:16" x14ac:dyDescent="0.2">
      <c r="A3" s="51" t="s">
        <v>130</v>
      </c>
      <c r="I3" s="49" t="s">
        <v>78</v>
      </c>
      <c r="J3" s="50" t="s">
        <v>131</v>
      </c>
    </row>
    <row r="4" spans="1:16" x14ac:dyDescent="0.2">
      <c r="I4" s="49" t="s">
        <v>93</v>
      </c>
      <c r="J4" s="50" t="s">
        <v>131</v>
      </c>
    </row>
    <row r="5" spans="1:16" ht="13.5" thickBot="1" x14ac:dyDescent="0.25">
      <c r="I5" s="52" t="s">
        <v>123</v>
      </c>
      <c r="J5" s="53" t="s">
        <v>132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AHSB 6.3.60 </v>
      </c>
      <c r="B11" s="5" t="str">
        <f t="shared" ref="B11:B42" si="1">IF(H11=INT(H11),"I","II")</f>
        <v>I</v>
      </c>
      <c r="C11" s="10">
        <f t="shared" ref="C11:C42" si="2">1*G11</f>
        <v>28428.400000000001</v>
      </c>
      <c r="D11" s="3" t="str">
        <f t="shared" ref="D11:D42" si="3">VLOOKUP(F11,I$1:J$5,2,FALSE)</f>
        <v>vis</v>
      </c>
      <c r="E11" s="54">
        <f>VLOOKUP(C11,Active!C$21:E$973,3,FALSE)</f>
        <v>-32045.849440535916</v>
      </c>
      <c r="F11" s="5" t="s">
        <v>123</v>
      </c>
      <c r="G11" s="3" t="str">
        <f t="shared" ref="G11:G42" si="4">MID(I11,3,LEN(I11)-3)</f>
        <v>28428.400</v>
      </c>
      <c r="H11" s="10">
        <f t="shared" ref="H11:H42" si="5">1*K11</f>
        <v>-9039</v>
      </c>
      <c r="I11" s="55" t="s">
        <v>134</v>
      </c>
      <c r="J11" s="56" t="s">
        <v>135</v>
      </c>
      <c r="K11" s="55">
        <v>-9039</v>
      </c>
      <c r="L11" s="55" t="s">
        <v>136</v>
      </c>
      <c r="M11" s="56" t="s">
        <v>137</v>
      </c>
      <c r="N11" s="56"/>
      <c r="O11" s="57" t="s">
        <v>138</v>
      </c>
      <c r="P11" s="57" t="s">
        <v>139</v>
      </c>
    </row>
    <row r="12" spans="1:16" ht="12.75" customHeight="1" thickBot="1" x14ac:dyDescent="0.25">
      <c r="A12" s="10" t="str">
        <f t="shared" si="0"/>
        <v> AHSB 6.3.60 </v>
      </c>
      <c r="B12" s="5" t="str">
        <f t="shared" si="1"/>
        <v>I</v>
      </c>
      <c r="C12" s="10">
        <f t="shared" si="2"/>
        <v>28542.219000000001</v>
      </c>
      <c r="D12" s="3" t="str">
        <f t="shared" si="3"/>
        <v>vis</v>
      </c>
      <c r="E12" s="54">
        <f>VLOOKUP(C12,Active!C$21:E$973,3,FALSE)</f>
        <v>-31879.85993349248</v>
      </c>
      <c r="F12" s="5" t="s">
        <v>123</v>
      </c>
      <c r="G12" s="3" t="str">
        <f t="shared" si="4"/>
        <v>28542.219</v>
      </c>
      <c r="H12" s="10">
        <f t="shared" si="5"/>
        <v>-8873</v>
      </c>
      <c r="I12" s="55" t="s">
        <v>140</v>
      </c>
      <c r="J12" s="56" t="s">
        <v>141</v>
      </c>
      <c r="K12" s="55">
        <v>-8873</v>
      </c>
      <c r="L12" s="55" t="s">
        <v>142</v>
      </c>
      <c r="M12" s="56" t="s">
        <v>137</v>
      </c>
      <c r="N12" s="56"/>
      <c r="O12" s="57" t="s">
        <v>138</v>
      </c>
      <c r="P12" s="57" t="s">
        <v>139</v>
      </c>
    </row>
    <row r="13" spans="1:16" ht="12.75" customHeight="1" thickBot="1" x14ac:dyDescent="0.25">
      <c r="A13" s="10" t="str">
        <f t="shared" si="0"/>
        <v> AHSB 6.3.60 </v>
      </c>
      <c r="B13" s="5" t="str">
        <f t="shared" si="1"/>
        <v>I</v>
      </c>
      <c r="C13" s="10">
        <f t="shared" si="2"/>
        <v>29216.249</v>
      </c>
      <c r="D13" s="3" t="str">
        <f t="shared" si="3"/>
        <v>vis</v>
      </c>
      <c r="E13" s="54">
        <f>VLOOKUP(C13,Active!C$21:E$973,3,FALSE)</f>
        <v>-30896.878995050847</v>
      </c>
      <c r="F13" s="5" t="s">
        <v>123</v>
      </c>
      <c r="G13" s="3" t="str">
        <f t="shared" si="4"/>
        <v>29216.249</v>
      </c>
      <c r="H13" s="10">
        <f t="shared" si="5"/>
        <v>-7890</v>
      </c>
      <c r="I13" s="55" t="s">
        <v>143</v>
      </c>
      <c r="J13" s="56" t="s">
        <v>144</v>
      </c>
      <c r="K13" s="55">
        <v>-7890</v>
      </c>
      <c r="L13" s="55" t="s">
        <v>145</v>
      </c>
      <c r="M13" s="56" t="s">
        <v>137</v>
      </c>
      <c r="N13" s="56"/>
      <c r="O13" s="57" t="s">
        <v>138</v>
      </c>
      <c r="P13" s="57" t="s">
        <v>139</v>
      </c>
    </row>
    <row r="14" spans="1:16" ht="12.75" customHeight="1" thickBot="1" x14ac:dyDescent="0.25">
      <c r="A14" s="10" t="str">
        <f t="shared" si="0"/>
        <v> AHSB 6.3.60 </v>
      </c>
      <c r="B14" s="5" t="str">
        <f t="shared" si="1"/>
        <v>I</v>
      </c>
      <c r="C14" s="10">
        <f t="shared" si="2"/>
        <v>32763.41</v>
      </c>
      <c r="D14" s="3" t="str">
        <f t="shared" si="3"/>
        <v>vis</v>
      </c>
      <c r="E14" s="54">
        <f>VLOOKUP(C14,Active!C$21:E$973,3,FALSE)</f>
        <v>-25723.827871831461</v>
      </c>
      <c r="F14" s="5" t="s">
        <v>123</v>
      </c>
      <c r="G14" s="3" t="str">
        <f t="shared" si="4"/>
        <v>32763.410</v>
      </c>
      <c r="H14" s="10">
        <f t="shared" si="5"/>
        <v>-2717</v>
      </c>
      <c r="I14" s="55" t="s">
        <v>146</v>
      </c>
      <c r="J14" s="56" t="s">
        <v>147</v>
      </c>
      <c r="K14" s="55">
        <v>-2717</v>
      </c>
      <c r="L14" s="55" t="s">
        <v>148</v>
      </c>
      <c r="M14" s="56" t="s">
        <v>137</v>
      </c>
      <c r="N14" s="56"/>
      <c r="O14" s="57" t="s">
        <v>138</v>
      </c>
      <c r="P14" s="57" t="s">
        <v>139</v>
      </c>
    </row>
    <row r="15" spans="1:16" ht="12.75" customHeight="1" thickBot="1" x14ac:dyDescent="0.25">
      <c r="A15" s="10" t="str">
        <f t="shared" si="0"/>
        <v> AHSB 6.3.60 </v>
      </c>
      <c r="B15" s="5" t="str">
        <f t="shared" si="1"/>
        <v>I</v>
      </c>
      <c r="C15" s="10">
        <f t="shared" si="2"/>
        <v>33542.35</v>
      </c>
      <c r="D15" s="3" t="str">
        <f t="shared" si="3"/>
        <v>vis</v>
      </c>
      <c r="E15" s="54">
        <f>VLOOKUP(C15,Active!C$21:E$973,3,FALSE)</f>
        <v>-24587.849989259877</v>
      </c>
      <c r="F15" s="5" t="s">
        <v>123</v>
      </c>
      <c r="G15" s="3" t="str">
        <f t="shared" si="4"/>
        <v>33542.350</v>
      </c>
      <c r="H15" s="10">
        <f t="shared" si="5"/>
        <v>-1581</v>
      </c>
      <c r="I15" s="55" t="s">
        <v>149</v>
      </c>
      <c r="J15" s="56" t="s">
        <v>150</v>
      </c>
      <c r="K15" s="55">
        <v>-1581</v>
      </c>
      <c r="L15" s="55" t="s">
        <v>136</v>
      </c>
      <c r="M15" s="56" t="s">
        <v>137</v>
      </c>
      <c r="N15" s="56"/>
      <c r="O15" s="57" t="s">
        <v>138</v>
      </c>
      <c r="P15" s="57" t="s">
        <v>139</v>
      </c>
    </row>
    <row r="16" spans="1:16" ht="12.75" customHeight="1" thickBot="1" x14ac:dyDescent="0.25">
      <c r="A16" s="10" t="str">
        <f t="shared" si="0"/>
        <v> AHSB 6.3.60 </v>
      </c>
      <c r="B16" s="5" t="str">
        <f t="shared" si="1"/>
        <v>I</v>
      </c>
      <c r="C16" s="10">
        <f t="shared" si="2"/>
        <v>33893.440000000002</v>
      </c>
      <c r="D16" s="3" t="str">
        <f t="shared" si="3"/>
        <v>vis</v>
      </c>
      <c r="E16" s="54">
        <f>VLOOKUP(C16,Active!C$21:E$973,3,FALSE)</f>
        <v>-24075.833049839559</v>
      </c>
      <c r="F16" s="5" t="s">
        <v>123</v>
      </c>
      <c r="G16" s="3" t="str">
        <f t="shared" si="4"/>
        <v>33893.440</v>
      </c>
      <c r="H16" s="10">
        <f t="shared" si="5"/>
        <v>-1069</v>
      </c>
      <c r="I16" s="55" t="s">
        <v>151</v>
      </c>
      <c r="J16" s="56" t="s">
        <v>152</v>
      </c>
      <c r="K16" s="55">
        <v>-1069</v>
      </c>
      <c r="L16" s="55" t="s">
        <v>153</v>
      </c>
      <c r="M16" s="56" t="s">
        <v>137</v>
      </c>
      <c r="N16" s="56"/>
      <c r="O16" s="57" t="s">
        <v>138</v>
      </c>
      <c r="P16" s="57" t="s">
        <v>139</v>
      </c>
    </row>
    <row r="17" spans="1:16" ht="12.75" customHeight="1" thickBot="1" x14ac:dyDescent="0.25">
      <c r="A17" s="10" t="str">
        <f t="shared" si="0"/>
        <v> AHSB 6.3.60 </v>
      </c>
      <c r="B17" s="5" t="str">
        <f t="shared" si="1"/>
        <v>I</v>
      </c>
      <c r="C17" s="10">
        <f t="shared" si="2"/>
        <v>34150.550000000003</v>
      </c>
      <c r="D17" s="3" t="str">
        <f t="shared" si="3"/>
        <v>vis</v>
      </c>
      <c r="E17" s="54">
        <f>VLOOKUP(C17,Active!C$21:E$973,3,FALSE)</f>
        <v>-23700.873138436909</v>
      </c>
      <c r="F17" s="5" t="s">
        <v>123</v>
      </c>
      <c r="G17" s="3" t="str">
        <f t="shared" si="4"/>
        <v>34150.550</v>
      </c>
      <c r="H17" s="10">
        <f t="shared" si="5"/>
        <v>-694</v>
      </c>
      <c r="I17" s="55" t="s">
        <v>154</v>
      </c>
      <c r="J17" s="56" t="s">
        <v>155</v>
      </c>
      <c r="K17" s="55">
        <v>-694</v>
      </c>
      <c r="L17" s="55" t="s">
        <v>156</v>
      </c>
      <c r="M17" s="56" t="s">
        <v>137</v>
      </c>
      <c r="N17" s="56"/>
      <c r="O17" s="57" t="s">
        <v>138</v>
      </c>
      <c r="P17" s="57" t="s">
        <v>139</v>
      </c>
    </row>
    <row r="18" spans="1:16" ht="12.75" customHeight="1" thickBot="1" x14ac:dyDescent="0.25">
      <c r="A18" s="10" t="str">
        <f t="shared" si="0"/>
        <v> AHSB 6.3.60 </v>
      </c>
      <c r="B18" s="5" t="str">
        <f t="shared" si="1"/>
        <v>I</v>
      </c>
      <c r="C18" s="10">
        <f t="shared" si="2"/>
        <v>34602.449999999997</v>
      </c>
      <c r="D18" s="3" t="str">
        <f t="shared" si="3"/>
        <v>vis</v>
      </c>
      <c r="E18" s="54">
        <f>VLOOKUP(C18,Active!C$21:E$973,3,FALSE)</f>
        <v>-23041.838546383486</v>
      </c>
      <c r="F18" s="5" t="s">
        <v>123</v>
      </c>
      <c r="G18" s="3" t="str">
        <f t="shared" si="4"/>
        <v>34602.450</v>
      </c>
      <c r="H18" s="10">
        <f t="shared" si="5"/>
        <v>-35</v>
      </c>
      <c r="I18" s="55" t="s">
        <v>157</v>
      </c>
      <c r="J18" s="56" t="s">
        <v>158</v>
      </c>
      <c r="K18" s="55">
        <v>-35</v>
      </c>
      <c r="L18" s="55" t="s">
        <v>159</v>
      </c>
      <c r="M18" s="56" t="s">
        <v>137</v>
      </c>
      <c r="N18" s="56"/>
      <c r="O18" s="57" t="s">
        <v>138</v>
      </c>
      <c r="P18" s="57" t="s">
        <v>139</v>
      </c>
    </row>
    <row r="19" spans="1:16" ht="12.75" customHeight="1" thickBot="1" x14ac:dyDescent="0.25">
      <c r="A19" s="10" t="str">
        <f t="shared" si="0"/>
        <v> AHSB 6.3.60 </v>
      </c>
      <c r="B19" s="5" t="str">
        <f t="shared" si="1"/>
        <v>I</v>
      </c>
      <c r="C19" s="10">
        <f t="shared" si="2"/>
        <v>34622.355000000003</v>
      </c>
      <c r="D19" s="3" t="str">
        <f t="shared" si="3"/>
        <v>vis</v>
      </c>
      <c r="E19" s="54">
        <f>VLOOKUP(C19,Active!C$21:E$973,3,FALSE)</f>
        <v>-23012.809815348239</v>
      </c>
      <c r="F19" s="5" t="s">
        <v>123</v>
      </c>
      <c r="G19" s="3" t="str">
        <f t="shared" si="4"/>
        <v>34622.355</v>
      </c>
      <c r="H19" s="10">
        <f t="shared" si="5"/>
        <v>-6</v>
      </c>
      <c r="I19" s="55" t="s">
        <v>160</v>
      </c>
      <c r="J19" s="56" t="s">
        <v>161</v>
      </c>
      <c r="K19" s="55">
        <v>-6</v>
      </c>
      <c r="L19" s="55" t="s">
        <v>162</v>
      </c>
      <c r="M19" s="56" t="s">
        <v>137</v>
      </c>
      <c r="N19" s="56"/>
      <c r="O19" s="57" t="s">
        <v>138</v>
      </c>
      <c r="P19" s="57" t="s">
        <v>139</v>
      </c>
    </row>
    <row r="20" spans="1:16" ht="12.75" customHeight="1" thickBot="1" x14ac:dyDescent="0.25">
      <c r="A20" s="10" t="str">
        <f t="shared" si="0"/>
        <v> AHSB 6.3.60 </v>
      </c>
      <c r="B20" s="5" t="str">
        <f t="shared" si="1"/>
        <v>I</v>
      </c>
      <c r="C20" s="10">
        <f t="shared" si="2"/>
        <v>34626.43</v>
      </c>
      <c r="D20" s="3" t="str">
        <f t="shared" si="3"/>
        <v>vis</v>
      </c>
      <c r="E20" s="54">
        <f>VLOOKUP(C20,Active!C$21:E$973,3,FALSE)</f>
        <v>-23006.866982945903</v>
      </c>
      <c r="F20" s="5" t="s">
        <v>123</v>
      </c>
      <c r="G20" s="3" t="str">
        <f t="shared" si="4"/>
        <v>34626.430</v>
      </c>
      <c r="H20" s="10">
        <f t="shared" si="5"/>
        <v>0</v>
      </c>
      <c r="I20" s="55" t="s">
        <v>163</v>
      </c>
      <c r="J20" s="56" t="s">
        <v>164</v>
      </c>
      <c r="K20" s="55">
        <v>0</v>
      </c>
      <c r="L20" s="55" t="s">
        <v>165</v>
      </c>
      <c r="M20" s="56" t="s">
        <v>137</v>
      </c>
      <c r="N20" s="56"/>
      <c r="O20" s="57" t="s">
        <v>138</v>
      </c>
      <c r="P20" s="57" t="s">
        <v>139</v>
      </c>
    </row>
    <row r="21" spans="1:16" ht="12.75" customHeight="1" thickBot="1" x14ac:dyDescent="0.25">
      <c r="A21" s="10" t="str">
        <f t="shared" si="0"/>
        <v> AHSB 6.3.60 </v>
      </c>
      <c r="B21" s="5" t="str">
        <f t="shared" si="1"/>
        <v>I</v>
      </c>
      <c r="C21" s="10">
        <f t="shared" si="2"/>
        <v>34628.485000000001</v>
      </c>
      <c r="D21" s="3" t="str">
        <f t="shared" si="3"/>
        <v>vis</v>
      </c>
      <c r="E21" s="54">
        <f>VLOOKUP(C21,Active!C$21:E$973,3,FALSE)</f>
        <v>-23003.870045378586</v>
      </c>
      <c r="F21" s="5" t="s">
        <v>123</v>
      </c>
      <c r="G21" s="3" t="str">
        <f t="shared" si="4"/>
        <v>34628.485</v>
      </c>
      <c r="H21" s="10">
        <f t="shared" si="5"/>
        <v>3</v>
      </c>
      <c r="I21" s="55" t="s">
        <v>166</v>
      </c>
      <c r="J21" s="56" t="s">
        <v>167</v>
      </c>
      <c r="K21" s="55">
        <v>3</v>
      </c>
      <c r="L21" s="55" t="s">
        <v>168</v>
      </c>
      <c r="M21" s="56" t="s">
        <v>137</v>
      </c>
      <c r="N21" s="56"/>
      <c r="O21" s="57" t="s">
        <v>138</v>
      </c>
      <c r="P21" s="57" t="s">
        <v>139</v>
      </c>
    </row>
    <row r="22" spans="1:16" ht="12.75" customHeight="1" thickBot="1" x14ac:dyDescent="0.25">
      <c r="A22" s="10" t="str">
        <f t="shared" si="0"/>
        <v> AHSB 6.3.60 </v>
      </c>
      <c r="B22" s="5" t="str">
        <f t="shared" si="1"/>
        <v>I</v>
      </c>
      <c r="C22" s="10">
        <f t="shared" si="2"/>
        <v>34637.425000000003</v>
      </c>
      <c r="D22" s="3" t="str">
        <f t="shared" si="3"/>
        <v>vis</v>
      </c>
      <c r="E22" s="54">
        <f>VLOOKUP(C22,Active!C$21:E$973,3,FALSE)</f>
        <v>-22990.832273187927</v>
      </c>
      <c r="F22" s="5" t="s">
        <v>123</v>
      </c>
      <c r="G22" s="3" t="str">
        <f t="shared" si="4"/>
        <v>34637.425</v>
      </c>
      <c r="H22" s="10">
        <f t="shared" si="5"/>
        <v>16</v>
      </c>
      <c r="I22" s="55" t="s">
        <v>169</v>
      </c>
      <c r="J22" s="56" t="s">
        <v>170</v>
      </c>
      <c r="K22" s="55">
        <v>16</v>
      </c>
      <c r="L22" s="55" t="s">
        <v>171</v>
      </c>
      <c r="M22" s="56" t="s">
        <v>137</v>
      </c>
      <c r="N22" s="56"/>
      <c r="O22" s="57" t="s">
        <v>138</v>
      </c>
      <c r="P22" s="57" t="s">
        <v>139</v>
      </c>
    </row>
    <row r="23" spans="1:16" ht="12.75" customHeight="1" thickBot="1" x14ac:dyDescent="0.25">
      <c r="A23" s="10" t="str">
        <f t="shared" si="0"/>
        <v> AHSB 6.3.60 </v>
      </c>
      <c r="B23" s="5" t="str">
        <f t="shared" si="1"/>
        <v>I</v>
      </c>
      <c r="C23" s="10">
        <f t="shared" si="2"/>
        <v>34663.455000000002</v>
      </c>
      <c r="D23" s="3" t="str">
        <f t="shared" si="3"/>
        <v>vis</v>
      </c>
      <c r="E23" s="54">
        <f>VLOOKUP(C23,Active!C$21:E$973,3,FALSE)</f>
        <v>-22952.871064001934</v>
      </c>
      <c r="F23" s="5" t="s">
        <v>123</v>
      </c>
      <c r="G23" s="3" t="str">
        <f t="shared" si="4"/>
        <v>34663.455</v>
      </c>
      <c r="H23" s="10">
        <f t="shared" si="5"/>
        <v>54</v>
      </c>
      <c r="I23" s="55" t="s">
        <v>172</v>
      </c>
      <c r="J23" s="56" t="s">
        <v>173</v>
      </c>
      <c r="K23" s="55">
        <v>54</v>
      </c>
      <c r="L23" s="55" t="s">
        <v>174</v>
      </c>
      <c r="M23" s="56" t="s">
        <v>137</v>
      </c>
      <c r="N23" s="56"/>
      <c r="O23" s="57" t="s">
        <v>138</v>
      </c>
      <c r="P23" s="57" t="s">
        <v>139</v>
      </c>
    </row>
    <row r="24" spans="1:16" ht="12.75" customHeight="1" thickBot="1" x14ac:dyDescent="0.25">
      <c r="A24" s="10" t="str">
        <f t="shared" si="0"/>
        <v> AHSB 6.3.60 </v>
      </c>
      <c r="B24" s="5" t="str">
        <f t="shared" si="1"/>
        <v>I</v>
      </c>
      <c r="C24" s="10">
        <f t="shared" si="2"/>
        <v>35041.279999999999</v>
      </c>
      <c r="D24" s="3" t="str">
        <f t="shared" si="3"/>
        <v>vis</v>
      </c>
      <c r="E24" s="54">
        <f>VLOOKUP(C24,Active!C$21:E$973,3,FALSE)</f>
        <v>-22401.864768930933</v>
      </c>
      <c r="F24" s="5" t="s">
        <v>123</v>
      </c>
      <c r="G24" s="3" t="str">
        <f t="shared" si="4"/>
        <v>35041.280</v>
      </c>
      <c r="H24" s="10">
        <f t="shared" si="5"/>
        <v>605</v>
      </c>
      <c r="I24" s="55" t="s">
        <v>175</v>
      </c>
      <c r="J24" s="56" t="s">
        <v>176</v>
      </c>
      <c r="K24" s="55">
        <v>605</v>
      </c>
      <c r="L24" s="55" t="s">
        <v>177</v>
      </c>
      <c r="M24" s="56" t="s">
        <v>137</v>
      </c>
      <c r="N24" s="56"/>
      <c r="O24" s="57" t="s">
        <v>138</v>
      </c>
      <c r="P24" s="57" t="s">
        <v>139</v>
      </c>
    </row>
    <row r="25" spans="1:16" ht="12.75" customHeight="1" thickBot="1" x14ac:dyDescent="0.25">
      <c r="A25" s="10" t="str">
        <f t="shared" si="0"/>
        <v> AHSB 6.3.60 </v>
      </c>
      <c r="B25" s="5" t="str">
        <f t="shared" si="1"/>
        <v>I</v>
      </c>
      <c r="C25" s="10">
        <f t="shared" si="2"/>
        <v>35195.550000000003</v>
      </c>
      <c r="D25" s="3" t="str">
        <f t="shared" si="3"/>
        <v>vis</v>
      </c>
      <c r="E25" s="54">
        <f>VLOOKUP(C25,Active!C$21:E$973,3,FALSE)</f>
        <v>-22176.882988634217</v>
      </c>
      <c r="F25" s="5" t="s">
        <v>123</v>
      </c>
      <c r="G25" s="3" t="str">
        <f t="shared" si="4"/>
        <v>35195.550</v>
      </c>
      <c r="H25" s="10">
        <f t="shared" si="5"/>
        <v>830</v>
      </c>
      <c r="I25" s="55" t="s">
        <v>178</v>
      </c>
      <c r="J25" s="56" t="s">
        <v>179</v>
      </c>
      <c r="K25" s="55">
        <v>830</v>
      </c>
      <c r="L25" s="55" t="s">
        <v>180</v>
      </c>
      <c r="M25" s="56" t="s">
        <v>137</v>
      </c>
      <c r="N25" s="56"/>
      <c r="O25" s="57" t="s">
        <v>138</v>
      </c>
      <c r="P25" s="57" t="s">
        <v>139</v>
      </c>
    </row>
    <row r="26" spans="1:16" ht="12.75" customHeight="1" thickBot="1" x14ac:dyDescent="0.25">
      <c r="A26" s="10" t="str">
        <f t="shared" si="0"/>
        <v> AHSB 6.3.60 </v>
      </c>
      <c r="B26" s="5" t="str">
        <f t="shared" si="1"/>
        <v>I</v>
      </c>
      <c r="C26" s="10">
        <f t="shared" si="2"/>
        <v>35313.485000000001</v>
      </c>
      <c r="D26" s="3" t="str">
        <f t="shared" si="3"/>
        <v>vis</v>
      </c>
      <c r="E26" s="54">
        <f>VLOOKUP(C26,Active!C$21:E$973,3,FALSE)</f>
        <v>-22004.890856273476</v>
      </c>
      <c r="F26" s="5" t="s">
        <v>123</v>
      </c>
      <c r="G26" s="3" t="str">
        <f t="shared" si="4"/>
        <v>35313.485</v>
      </c>
      <c r="H26" s="10">
        <f t="shared" si="5"/>
        <v>1002</v>
      </c>
      <c r="I26" s="55" t="s">
        <v>181</v>
      </c>
      <c r="J26" s="56" t="s">
        <v>182</v>
      </c>
      <c r="K26" s="55">
        <v>1002</v>
      </c>
      <c r="L26" s="55" t="s">
        <v>183</v>
      </c>
      <c r="M26" s="56" t="s">
        <v>137</v>
      </c>
      <c r="N26" s="56"/>
      <c r="O26" s="57" t="s">
        <v>138</v>
      </c>
      <c r="P26" s="57" t="s">
        <v>139</v>
      </c>
    </row>
    <row r="27" spans="1:16" ht="12.75" customHeight="1" thickBot="1" x14ac:dyDescent="0.25">
      <c r="A27" s="10" t="str">
        <f t="shared" si="0"/>
        <v> AHSB 6.3.60 </v>
      </c>
      <c r="B27" s="5" t="str">
        <f t="shared" si="1"/>
        <v>I</v>
      </c>
      <c r="C27" s="10">
        <f t="shared" si="2"/>
        <v>35374.519999999997</v>
      </c>
      <c r="D27" s="3" t="str">
        <f t="shared" si="3"/>
        <v>vis</v>
      </c>
      <c r="E27" s="54">
        <f>VLOOKUP(C27,Active!C$21:E$973,3,FALSE)</f>
        <v>-21915.879622978544</v>
      </c>
      <c r="F27" s="5" t="s">
        <v>123</v>
      </c>
      <c r="G27" s="3" t="str">
        <f t="shared" si="4"/>
        <v>35374.520</v>
      </c>
      <c r="H27" s="10">
        <f t="shared" si="5"/>
        <v>1091</v>
      </c>
      <c r="I27" s="55" t="s">
        <v>184</v>
      </c>
      <c r="J27" s="56" t="s">
        <v>185</v>
      </c>
      <c r="K27" s="55">
        <v>1091</v>
      </c>
      <c r="L27" s="55" t="s">
        <v>186</v>
      </c>
      <c r="M27" s="56" t="s">
        <v>137</v>
      </c>
      <c r="N27" s="56"/>
      <c r="O27" s="57" t="s">
        <v>138</v>
      </c>
      <c r="P27" s="57" t="s">
        <v>139</v>
      </c>
    </row>
    <row r="28" spans="1:16" ht="12.75" customHeight="1" thickBot="1" x14ac:dyDescent="0.25">
      <c r="A28" s="10" t="str">
        <f t="shared" si="0"/>
        <v> AHSB 6.3.60 </v>
      </c>
      <c r="B28" s="5" t="str">
        <f t="shared" si="1"/>
        <v>I</v>
      </c>
      <c r="C28" s="10">
        <f t="shared" si="2"/>
        <v>36810.394999999997</v>
      </c>
      <c r="D28" s="3" t="str">
        <f t="shared" si="3"/>
        <v>vis</v>
      </c>
      <c r="E28" s="54">
        <f>VLOOKUP(C28,Active!C$21:E$973,3,FALSE)</f>
        <v>-19821.851530779561</v>
      </c>
      <c r="F28" s="5" t="s">
        <v>123</v>
      </c>
      <c r="G28" s="3" t="str">
        <f t="shared" si="4"/>
        <v>36810.395</v>
      </c>
      <c r="H28" s="10">
        <f t="shared" si="5"/>
        <v>3185</v>
      </c>
      <c r="I28" s="55" t="s">
        <v>187</v>
      </c>
      <c r="J28" s="56" t="s">
        <v>188</v>
      </c>
      <c r="K28" s="55">
        <v>3185</v>
      </c>
      <c r="L28" s="55" t="s">
        <v>189</v>
      </c>
      <c r="M28" s="56" t="s">
        <v>137</v>
      </c>
      <c r="N28" s="56"/>
      <c r="O28" s="57" t="s">
        <v>138</v>
      </c>
      <c r="P28" s="57" t="s">
        <v>139</v>
      </c>
    </row>
    <row r="29" spans="1:16" ht="12.75" customHeight="1" thickBot="1" x14ac:dyDescent="0.25">
      <c r="A29" s="10" t="str">
        <f t="shared" si="0"/>
        <v> AHSB 6.3.60 </v>
      </c>
      <c r="B29" s="5" t="str">
        <f t="shared" si="1"/>
        <v>I</v>
      </c>
      <c r="C29" s="10">
        <f t="shared" si="2"/>
        <v>36812.447999999997</v>
      </c>
      <c r="D29" s="3" t="str">
        <f t="shared" si="3"/>
        <v>vis</v>
      </c>
      <c r="E29" s="54">
        <f>VLOOKUP(C29,Active!C$21:E$973,3,FALSE)</f>
        <v>-19818.857509939808</v>
      </c>
      <c r="F29" s="5" t="s">
        <v>123</v>
      </c>
      <c r="G29" s="3" t="str">
        <f t="shared" si="4"/>
        <v>36812.448</v>
      </c>
      <c r="H29" s="10">
        <f t="shared" si="5"/>
        <v>3188</v>
      </c>
      <c r="I29" s="55" t="s">
        <v>190</v>
      </c>
      <c r="J29" s="56" t="s">
        <v>191</v>
      </c>
      <c r="K29" s="55">
        <v>3188</v>
      </c>
      <c r="L29" s="55" t="s">
        <v>192</v>
      </c>
      <c r="M29" s="56" t="s">
        <v>137</v>
      </c>
      <c r="N29" s="56"/>
      <c r="O29" s="57" t="s">
        <v>138</v>
      </c>
      <c r="P29" s="57" t="s">
        <v>139</v>
      </c>
    </row>
    <row r="30" spans="1:16" ht="12.75" customHeight="1" thickBot="1" x14ac:dyDescent="0.25">
      <c r="A30" s="10" t="str">
        <f t="shared" si="0"/>
        <v> AHSB 6.3.60 </v>
      </c>
      <c r="B30" s="5" t="str">
        <f t="shared" si="1"/>
        <v>I</v>
      </c>
      <c r="C30" s="10">
        <f t="shared" si="2"/>
        <v>36819.328000000001</v>
      </c>
      <c r="D30" s="3" t="str">
        <f t="shared" si="3"/>
        <v>vis</v>
      </c>
      <c r="E30" s="54">
        <f>VLOOKUP(C30,Active!C$21:E$973,3,FALSE)</f>
        <v>-19808.823967135359</v>
      </c>
      <c r="F30" s="5" t="s">
        <v>123</v>
      </c>
      <c r="G30" s="3" t="str">
        <f t="shared" si="4"/>
        <v>36819.328</v>
      </c>
      <c r="H30" s="10">
        <f t="shared" si="5"/>
        <v>3198</v>
      </c>
      <c r="I30" s="55" t="s">
        <v>193</v>
      </c>
      <c r="J30" s="56" t="s">
        <v>194</v>
      </c>
      <c r="K30" s="55">
        <v>3198</v>
      </c>
      <c r="L30" s="55" t="s">
        <v>195</v>
      </c>
      <c r="M30" s="56" t="s">
        <v>137</v>
      </c>
      <c r="N30" s="56"/>
      <c r="O30" s="57" t="s">
        <v>138</v>
      </c>
      <c r="P30" s="57" t="s">
        <v>139</v>
      </c>
    </row>
    <row r="31" spans="1:16" ht="12.75" customHeight="1" thickBot="1" x14ac:dyDescent="0.25">
      <c r="A31" s="10" t="str">
        <f t="shared" si="0"/>
        <v> AHSB 6.3.60 </v>
      </c>
      <c r="B31" s="5" t="str">
        <f t="shared" si="1"/>
        <v>I</v>
      </c>
      <c r="C31" s="10">
        <f t="shared" si="2"/>
        <v>36847.425999999999</v>
      </c>
      <c r="D31" s="3" t="str">
        <f t="shared" si="3"/>
        <v>vis</v>
      </c>
      <c r="E31" s="54">
        <f>VLOOKUP(C31,Active!C$21:E$973,3,FALSE)</f>
        <v>-19767.846861652914</v>
      </c>
      <c r="F31" s="5" t="s">
        <v>123</v>
      </c>
      <c r="G31" s="3" t="str">
        <f t="shared" si="4"/>
        <v>36847.426</v>
      </c>
      <c r="H31" s="10">
        <f t="shared" si="5"/>
        <v>3239</v>
      </c>
      <c r="I31" s="55" t="s">
        <v>196</v>
      </c>
      <c r="J31" s="56" t="s">
        <v>197</v>
      </c>
      <c r="K31" s="55">
        <v>3239</v>
      </c>
      <c r="L31" s="55" t="s">
        <v>198</v>
      </c>
      <c r="M31" s="56" t="s">
        <v>137</v>
      </c>
      <c r="N31" s="56"/>
      <c r="O31" s="57" t="s">
        <v>138</v>
      </c>
      <c r="P31" s="57" t="s">
        <v>139</v>
      </c>
    </row>
    <row r="32" spans="1:16" ht="12.75" customHeight="1" thickBot="1" x14ac:dyDescent="0.25">
      <c r="A32" s="10" t="str">
        <f t="shared" si="0"/>
        <v> AHSB 6.3.60 </v>
      </c>
      <c r="B32" s="5" t="str">
        <f t="shared" si="1"/>
        <v>I</v>
      </c>
      <c r="C32" s="10">
        <f t="shared" si="2"/>
        <v>36849.455000000002</v>
      </c>
      <c r="D32" s="3" t="str">
        <f t="shared" si="3"/>
        <v>vis</v>
      </c>
      <c r="E32" s="54">
        <f>VLOOKUP(C32,Active!C$21:E$973,3,FALSE)</f>
        <v>-19764.887841543867</v>
      </c>
      <c r="F32" s="5" t="s">
        <v>123</v>
      </c>
      <c r="G32" s="3" t="str">
        <f t="shared" si="4"/>
        <v>36849.455</v>
      </c>
      <c r="H32" s="10">
        <f t="shared" si="5"/>
        <v>3242</v>
      </c>
      <c r="I32" s="55" t="s">
        <v>199</v>
      </c>
      <c r="J32" s="56" t="s">
        <v>200</v>
      </c>
      <c r="K32" s="55">
        <v>3242</v>
      </c>
      <c r="L32" s="55" t="s">
        <v>201</v>
      </c>
      <c r="M32" s="56" t="s">
        <v>137</v>
      </c>
      <c r="N32" s="56"/>
      <c r="O32" s="57" t="s">
        <v>138</v>
      </c>
      <c r="P32" s="57" t="s">
        <v>139</v>
      </c>
    </row>
    <row r="33" spans="1:16" ht="12.75" customHeight="1" thickBot="1" x14ac:dyDescent="0.25">
      <c r="A33" s="10" t="str">
        <f t="shared" si="0"/>
        <v> AHSB 6.3.60 </v>
      </c>
      <c r="B33" s="5" t="str">
        <f t="shared" si="1"/>
        <v>I</v>
      </c>
      <c r="C33" s="10">
        <f t="shared" si="2"/>
        <v>36902.275000000001</v>
      </c>
      <c r="D33" s="3" t="str">
        <f t="shared" si="3"/>
        <v>vis</v>
      </c>
      <c r="E33" s="54">
        <f>VLOOKUP(C33,Active!C$21:E$973,3,FALSE)</f>
        <v>-19687.857066699296</v>
      </c>
      <c r="F33" s="5" t="s">
        <v>123</v>
      </c>
      <c r="G33" s="3" t="str">
        <f t="shared" si="4"/>
        <v>36902.275</v>
      </c>
      <c r="H33" s="10">
        <f t="shared" si="5"/>
        <v>3319</v>
      </c>
      <c r="I33" s="55" t="s">
        <v>202</v>
      </c>
      <c r="J33" s="56" t="s">
        <v>203</v>
      </c>
      <c r="K33" s="55">
        <v>3319</v>
      </c>
      <c r="L33" s="55" t="s">
        <v>204</v>
      </c>
      <c r="M33" s="56" t="s">
        <v>137</v>
      </c>
      <c r="N33" s="56"/>
      <c r="O33" s="57" t="s">
        <v>138</v>
      </c>
      <c r="P33" s="57" t="s">
        <v>139</v>
      </c>
    </row>
    <row r="34" spans="1:16" ht="12.75" customHeight="1" thickBot="1" x14ac:dyDescent="0.25">
      <c r="A34" s="10" t="str">
        <f t="shared" si="0"/>
        <v>BAVM 56 </v>
      </c>
      <c r="B34" s="5" t="str">
        <f t="shared" si="1"/>
        <v>II</v>
      </c>
      <c r="C34" s="10">
        <f t="shared" si="2"/>
        <v>47671.455999999998</v>
      </c>
      <c r="D34" s="3" t="str">
        <f t="shared" si="3"/>
        <v>vis</v>
      </c>
      <c r="E34" s="54">
        <f>VLOOKUP(C34,Active!C$21:E$973,3,FALSE)</f>
        <v>-3982.4735590990313</v>
      </c>
      <c r="F34" s="5" t="s">
        <v>123</v>
      </c>
      <c r="G34" s="3" t="str">
        <f t="shared" si="4"/>
        <v>47671.456</v>
      </c>
      <c r="H34" s="10">
        <f t="shared" si="5"/>
        <v>19024.5</v>
      </c>
      <c r="I34" s="55" t="s">
        <v>205</v>
      </c>
      <c r="J34" s="56" t="s">
        <v>206</v>
      </c>
      <c r="K34" s="55">
        <v>19024.5</v>
      </c>
      <c r="L34" s="55" t="s">
        <v>207</v>
      </c>
      <c r="M34" s="56" t="s">
        <v>133</v>
      </c>
      <c r="N34" s="56"/>
      <c r="O34" s="57" t="s">
        <v>208</v>
      </c>
      <c r="P34" s="58" t="s">
        <v>209</v>
      </c>
    </row>
    <row r="35" spans="1:16" ht="12.75" customHeight="1" thickBot="1" x14ac:dyDescent="0.25">
      <c r="A35" s="10" t="str">
        <f t="shared" si="0"/>
        <v>BAVM 56 </v>
      </c>
      <c r="B35" s="5" t="str">
        <f t="shared" si="1"/>
        <v>I</v>
      </c>
      <c r="C35" s="10">
        <f t="shared" si="2"/>
        <v>47672.497000000003</v>
      </c>
      <c r="D35" s="3" t="str">
        <f t="shared" si="3"/>
        <v>vis</v>
      </c>
      <c r="E35" s="54">
        <f>VLOOKUP(C35,Active!C$21:E$973,3,FALSE)</f>
        <v>-3980.9554024043405</v>
      </c>
      <c r="F35" s="5" t="s">
        <v>123</v>
      </c>
      <c r="G35" s="3" t="str">
        <f t="shared" si="4"/>
        <v>47672.497</v>
      </c>
      <c r="H35" s="10">
        <f t="shared" si="5"/>
        <v>19026</v>
      </c>
      <c r="I35" s="55" t="s">
        <v>210</v>
      </c>
      <c r="J35" s="56" t="s">
        <v>211</v>
      </c>
      <c r="K35" s="55">
        <v>19026</v>
      </c>
      <c r="L35" s="55" t="s">
        <v>212</v>
      </c>
      <c r="M35" s="56" t="s">
        <v>133</v>
      </c>
      <c r="N35" s="56"/>
      <c r="O35" s="57" t="s">
        <v>208</v>
      </c>
      <c r="P35" s="58" t="s">
        <v>209</v>
      </c>
    </row>
    <row r="36" spans="1:16" ht="12.75" customHeight="1" thickBot="1" x14ac:dyDescent="0.25">
      <c r="A36" s="10" t="str">
        <f t="shared" si="0"/>
        <v>BAVM 56 </v>
      </c>
      <c r="B36" s="5" t="str">
        <f t="shared" si="1"/>
        <v>I</v>
      </c>
      <c r="C36" s="10">
        <f t="shared" si="2"/>
        <v>47753.406000000003</v>
      </c>
      <c r="D36" s="3" t="str">
        <f t="shared" si="3"/>
        <v>vis</v>
      </c>
      <c r="E36" s="54">
        <f>VLOOKUP(C36,Active!C$21:E$973,3,FALSE)</f>
        <v>-3862.9606473513404</v>
      </c>
      <c r="F36" s="5" t="s">
        <v>123</v>
      </c>
      <c r="G36" s="3" t="str">
        <f t="shared" si="4"/>
        <v>47753.406</v>
      </c>
      <c r="H36" s="10">
        <f t="shared" si="5"/>
        <v>19144</v>
      </c>
      <c r="I36" s="55" t="s">
        <v>213</v>
      </c>
      <c r="J36" s="56" t="s">
        <v>214</v>
      </c>
      <c r="K36" s="55">
        <v>19144</v>
      </c>
      <c r="L36" s="55" t="s">
        <v>215</v>
      </c>
      <c r="M36" s="56" t="s">
        <v>133</v>
      </c>
      <c r="N36" s="56"/>
      <c r="O36" s="57" t="s">
        <v>216</v>
      </c>
      <c r="P36" s="58" t="s">
        <v>209</v>
      </c>
    </row>
    <row r="37" spans="1:16" ht="12.75" customHeight="1" thickBot="1" x14ac:dyDescent="0.25">
      <c r="A37" s="10" t="str">
        <f t="shared" si="0"/>
        <v>BAVM 60 </v>
      </c>
      <c r="B37" s="5" t="str">
        <f t="shared" si="1"/>
        <v>II</v>
      </c>
      <c r="C37" s="10">
        <f t="shared" si="2"/>
        <v>47769.517</v>
      </c>
      <c r="D37" s="3" t="str">
        <f t="shared" si="3"/>
        <v>vis</v>
      </c>
      <c r="E37" s="54">
        <f>VLOOKUP(C37,Active!C$21:E$973,3,FALSE)</f>
        <v>-3839.4649484963484</v>
      </c>
      <c r="F37" s="5" t="s">
        <v>123</v>
      </c>
      <c r="G37" s="3" t="str">
        <f t="shared" si="4"/>
        <v>47769.517</v>
      </c>
      <c r="H37" s="10">
        <f t="shared" si="5"/>
        <v>19167.5</v>
      </c>
      <c r="I37" s="55" t="s">
        <v>217</v>
      </c>
      <c r="J37" s="56" t="s">
        <v>218</v>
      </c>
      <c r="K37" s="55">
        <v>19167.5</v>
      </c>
      <c r="L37" s="55" t="s">
        <v>219</v>
      </c>
      <c r="M37" s="56" t="s">
        <v>133</v>
      </c>
      <c r="N37" s="56"/>
      <c r="O37" s="57" t="s">
        <v>208</v>
      </c>
      <c r="P37" s="58" t="s">
        <v>220</v>
      </c>
    </row>
    <row r="38" spans="1:16" ht="12.75" customHeight="1" thickBot="1" x14ac:dyDescent="0.25">
      <c r="A38" s="10" t="str">
        <f t="shared" si="0"/>
        <v>BAVM 56 </v>
      </c>
      <c r="B38" s="5" t="str">
        <f t="shared" si="1"/>
        <v>I</v>
      </c>
      <c r="C38" s="10">
        <f t="shared" si="2"/>
        <v>47777.408000000003</v>
      </c>
      <c r="D38" s="3" t="str">
        <f t="shared" si="3"/>
        <v>vis</v>
      </c>
      <c r="E38" s="54">
        <f>VLOOKUP(C38,Active!C$21:E$973,3,FALSE)</f>
        <v>-3827.9569999106084</v>
      </c>
      <c r="F38" s="5" t="s">
        <v>123</v>
      </c>
      <c r="G38" s="3" t="str">
        <f t="shared" si="4"/>
        <v>47777.408</v>
      </c>
      <c r="H38" s="10">
        <f t="shared" si="5"/>
        <v>19179</v>
      </c>
      <c r="I38" s="55" t="s">
        <v>221</v>
      </c>
      <c r="J38" s="56" t="s">
        <v>222</v>
      </c>
      <c r="K38" s="55">
        <v>19179</v>
      </c>
      <c r="L38" s="55" t="s">
        <v>223</v>
      </c>
      <c r="M38" s="56" t="s">
        <v>133</v>
      </c>
      <c r="N38" s="56"/>
      <c r="O38" s="57" t="s">
        <v>216</v>
      </c>
      <c r="P38" s="58" t="s">
        <v>209</v>
      </c>
    </row>
    <row r="39" spans="1:16" ht="12.75" customHeight="1" thickBot="1" x14ac:dyDescent="0.25">
      <c r="A39" s="10" t="str">
        <f t="shared" si="0"/>
        <v>BAVM 56 </v>
      </c>
      <c r="B39" s="5" t="str">
        <f t="shared" si="1"/>
        <v>I</v>
      </c>
      <c r="C39" s="10">
        <f t="shared" si="2"/>
        <v>47788.379000000001</v>
      </c>
      <c r="D39" s="3" t="str">
        <f t="shared" si="3"/>
        <v>vis</v>
      </c>
      <c r="E39" s="54">
        <f>VLOOKUP(C39,Active!C$21:E$973,3,FALSE)</f>
        <v>-3811.9572908833534</v>
      </c>
      <c r="F39" s="5" t="s">
        <v>123</v>
      </c>
      <c r="G39" s="3" t="str">
        <f t="shared" si="4"/>
        <v>47788.379</v>
      </c>
      <c r="H39" s="10">
        <f t="shared" si="5"/>
        <v>19195</v>
      </c>
      <c r="I39" s="55" t="s">
        <v>224</v>
      </c>
      <c r="J39" s="56" t="s">
        <v>225</v>
      </c>
      <c r="K39" s="55">
        <v>19195</v>
      </c>
      <c r="L39" s="55" t="s">
        <v>223</v>
      </c>
      <c r="M39" s="56" t="s">
        <v>133</v>
      </c>
      <c r="N39" s="56"/>
      <c r="O39" s="57" t="s">
        <v>216</v>
      </c>
      <c r="P39" s="58" t="s">
        <v>209</v>
      </c>
    </row>
    <row r="40" spans="1:16" ht="12.75" customHeight="1" thickBot="1" x14ac:dyDescent="0.25">
      <c r="A40" s="10" t="str">
        <f t="shared" si="0"/>
        <v>BAVM 56 </v>
      </c>
      <c r="B40" s="5" t="str">
        <f t="shared" si="1"/>
        <v>I</v>
      </c>
      <c r="C40" s="10">
        <f t="shared" si="2"/>
        <v>47843.235999999997</v>
      </c>
      <c r="D40" s="3" t="str">
        <f t="shared" si="3"/>
        <v>vis</v>
      </c>
      <c r="E40" s="54">
        <f>VLOOKUP(C40,Active!C$21:E$973,3,FALSE)</f>
        <v>-3731.9558290195059</v>
      </c>
      <c r="F40" s="5" t="s">
        <v>123</v>
      </c>
      <c r="G40" s="3" t="str">
        <f t="shared" si="4"/>
        <v>47843.236</v>
      </c>
      <c r="H40" s="10">
        <f t="shared" si="5"/>
        <v>19275</v>
      </c>
      <c r="I40" s="55" t="s">
        <v>226</v>
      </c>
      <c r="J40" s="56" t="s">
        <v>227</v>
      </c>
      <c r="K40" s="55">
        <v>19275</v>
      </c>
      <c r="L40" s="55" t="s">
        <v>212</v>
      </c>
      <c r="M40" s="56" t="s">
        <v>133</v>
      </c>
      <c r="N40" s="56"/>
      <c r="O40" s="57" t="s">
        <v>216</v>
      </c>
      <c r="P40" s="58" t="s">
        <v>209</v>
      </c>
    </row>
    <row r="41" spans="1:16" ht="12.75" customHeight="1" thickBot="1" x14ac:dyDescent="0.25">
      <c r="A41" s="10" t="str">
        <f t="shared" si="0"/>
        <v>BAVM 60 </v>
      </c>
      <c r="B41" s="5" t="str">
        <f t="shared" si="1"/>
        <v>I</v>
      </c>
      <c r="C41" s="10">
        <f t="shared" si="2"/>
        <v>48128.485000000001</v>
      </c>
      <c r="D41" s="3" t="str">
        <f t="shared" si="3"/>
        <v>vis</v>
      </c>
      <c r="E41" s="54">
        <f>VLOOKUP(C41,Active!C$21:E$973,3,FALSE)</f>
        <v>-3315.959019219436</v>
      </c>
      <c r="F41" s="5" t="s">
        <v>123</v>
      </c>
      <c r="G41" s="3" t="str">
        <f t="shared" si="4"/>
        <v>48128.485</v>
      </c>
      <c r="H41" s="10">
        <f t="shared" si="5"/>
        <v>19691</v>
      </c>
      <c r="I41" s="55" t="s">
        <v>228</v>
      </c>
      <c r="J41" s="56" t="s">
        <v>229</v>
      </c>
      <c r="K41" s="55">
        <v>19691</v>
      </c>
      <c r="L41" s="55" t="s">
        <v>230</v>
      </c>
      <c r="M41" s="56" t="s">
        <v>133</v>
      </c>
      <c r="N41" s="56"/>
      <c r="O41" s="57" t="s">
        <v>208</v>
      </c>
      <c r="P41" s="58" t="s">
        <v>220</v>
      </c>
    </row>
    <row r="42" spans="1:16" ht="12.75" customHeight="1" thickBot="1" x14ac:dyDescent="0.25">
      <c r="A42" s="10" t="str">
        <f t="shared" si="0"/>
        <v>BAVM 68 </v>
      </c>
      <c r="B42" s="5" t="str">
        <f t="shared" si="1"/>
        <v>I</v>
      </c>
      <c r="C42" s="10">
        <f t="shared" si="2"/>
        <v>49125.482600000003</v>
      </c>
      <c r="D42" s="3" t="str">
        <f t="shared" si="3"/>
        <v>vis</v>
      </c>
      <c r="E42" s="54">
        <f>VLOOKUP(C42,Active!C$21:E$973,3,FALSE)</f>
        <v>-1861.9738309161578</v>
      </c>
      <c r="F42" s="5" t="s">
        <v>123</v>
      </c>
      <c r="G42" s="3" t="str">
        <f t="shared" si="4"/>
        <v>49125.4826</v>
      </c>
      <c r="H42" s="10">
        <f t="shared" si="5"/>
        <v>21145</v>
      </c>
      <c r="I42" s="55" t="s">
        <v>231</v>
      </c>
      <c r="J42" s="56" t="s">
        <v>232</v>
      </c>
      <c r="K42" s="55">
        <v>21145</v>
      </c>
      <c r="L42" s="55" t="s">
        <v>233</v>
      </c>
      <c r="M42" s="56" t="s">
        <v>234</v>
      </c>
      <c r="N42" s="56" t="s">
        <v>235</v>
      </c>
      <c r="O42" s="57" t="s">
        <v>236</v>
      </c>
      <c r="P42" s="58" t="s">
        <v>237</v>
      </c>
    </row>
    <row r="43" spans="1:16" ht="12.75" customHeight="1" thickBot="1" x14ac:dyDescent="0.25">
      <c r="A43" s="10" t="str">
        <f t="shared" ref="A43:A76" si="6">P43</f>
        <v>BAVM 68 </v>
      </c>
      <c r="B43" s="5" t="str">
        <f t="shared" ref="B43:B76" si="7">IF(H43=INT(H43),"I","II")</f>
        <v>I</v>
      </c>
      <c r="C43" s="10">
        <f t="shared" ref="C43:C76" si="8">1*G43</f>
        <v>49311.3073</v>
      </c>
      <c r="D43" s="3" t="str">
        <f t="shared" ref="D43:D76" si="9">VLOOKUP(F43,I$1:J$5,2,FALSE)</f>
        <v>vis</v>
      </c>
      <c r="E43" s="54">
        <f>VLOOKUP(C43,Active!C$21:E$973,3,FALSE)</f>
        <v>-1590.973819059664</v>
      </c>
      <c r="F43" s="5" t="s">
        <v>123</v>
      </c>
      <c r="G43" s="3" t="str">
        <f t="shared" ref="G43:G76" si="10">MID(I43,3,LEN(I43)-3)</f>
        <v>49311.3073</v>
      </c>
      <c r="H43" s="10">
        <f t="shared" ref="H43:H76" si="11">1*K43</f>
        <v>21416</v>
      </c>
      <c r="I43" s="55" t="s">
        <v>238</v>
      </c>
      <c r="J43" s="56" t="s">
        <v>239</v>
      </c>
      <c r="K43" s="55">
        <v>21416</v>
      </c>
      <c r="L43" s="55" t="s">
        <v>233</v>
      </c>
      <c r="M43" s="56" t="s">
        <v>234</v>
      </c>
      <c r="N43" s="56" t="s">
        <v>235</v>
      </c>
      <c r="O43" s="57" t="s">
        <v>236</v>
      </c>
      <c r="P43" s="58" t="s">
        <v>237</v>
      </c>
    </row>
    <row r="44" spans="1:16" ht="12.75" customHeight="1" thickBot="1" x14ac:dyDescent="0.25">
      <c r="A44" s="10" t="str">
        <f t="shared" si="6"/>
        <v>BAVM 102 </v>
      </c>
      <c r="B44" s="5" t="str">
        <f t="shared" si="7"/>
        <v>I</v>
      </c>
      <c r="C44" s="10">
        <f t="shared" si="8"/>
        <v>50402.237999999998</v>
      </c>
      <c r="D44" s="3" t="str">
        <f t="shared" si="9"/>
        <v>vis</v>
      </c>
      <c r="E44" s="54">
        <f>VLOOKUP(C44,Active!C$21:E$973,3,FALSE)</f>
        <v>0</v>
      </c>
      <c r="F44" s="5" t="s">
        <v>123</v>
      </c>
      <c r="G44" s="3" t="str">
        <f t="shared" si="10"/>
        <v>50402.2380</v>
      </c>
      <c r="H44" s="10">
        <f t="shared" si="11"/>
        <v>23007</v>
      </c>
      <c r="I44" s="55" t="s">
        <v>240</v>
      </c>
      <c r="J44" s="56" t="s">
        <v>241</v>
      </c>
      <c r="K44" s="55">
        <v>23007</v>
      </c>
      <c r="L44" s="55" t="s">
        <v>242</v>
      </c>
      <c r="M44" s="56" t="s">
        <v>234</v>
      </c>
      <c r="N44" s="56" t="s">
        <v>235</v>
      </c>
      <c r="O44" s="57" t="s">
        <v>236</v>
      </c>
      <c r="P44" s="58" t="s">
        <v>243</v>
      </c>
    </row>
    <row r="45" spans="1:16" ht="12.75" customHeight="1" thickBot="1" x14ac:dyDescent="0.25">
      <c r="A45" s="10" t="str">
        <f t="shared" si="6"/>
        <v>BAVM 102 </v>
      </c>
      <c r="B45" s="5" t="str">
        <f t="shared" si="7"/>
        <v>I</v>
      </c>
      <c r="C45" s="10">
        <f t="shared" si="8"/>
        <v>50428.2935</v>
      </c>
      <c r="D45" s="3" t="str">
        <f t="shared" si="9"/>
        <v>vis</v>
      </c>
      <c r="E45" s="54">
        <f>VLOOKUP(C45,Active!C$21:E$973,3,FALSE)</f>
        <v>37.998397462380247</v>
      </c>
      <c r="F45" s="5" t="s">
        <v>123</v>
      </c>
      <c r="G45" s="3" t="str">
        <f t="shared" si="10"/>
        <v>50428.2935</v>
      </c>
      <c r="H45" s="10">
        <f t="shared" si="11"/>
        <v>23045</v>
      </c>
      <c r="I45" s="55" t="s">
        <v>244</v>
      </c>
      <c r="J45" s="56" t="s">
        <v>245</v>
      </c>
      <c r="K45" s="55">
        <v>23045</v>
      </c>
      <c r="L45" s="55" t="s">
        <v>246</v>
      </c>
      <c r="M45" s="56" t="s">
        <v>234</v>
      </c>
      <c r="N45" s="56" t="s">
        <v>235</v>
      </c>
      <c r="O45" s="57" t="s">
        <v>236</v>
      </c>
      <c r="P45" s="58" t="s">
        <v>243</v>
      </c>
    </row>
    <row r="46" spans="1:16" ht="12.75" customHeight="1" thickBot="1" x14ac:dyDescent="0.25">
      <c r="A46" s="10" t="str">
        <f t="shared" si="6"/>
        <v>BAVM 117 </v>
      </c>
      <c r="B46" s="5" t="str">
        <f t="shared" si="7"/>
        <v>I</v>
      </c>
      <c r="C46" s="10">
        <f t="shared" si="8"/>
        <v>50718.344599999997</v>
      </c>
      <c r="D46" s="3" t="str">
        <f t="shared" si="9"/>
        <v>vis</v>
      </c>
      <c r="E46" s="54">
        <f>VLOOKUP(C46,Active!C$21:E$973,3,FALSE)</f>
        <v>460.99841596901211</v>
      </c>
      <c r="F46" s="5" t="s">
        <v>123</v>
      </c>
      <c r="G46" s="3" t="str">
        <f t="shared" si="10"/>
        <v>50718.3446</v>
      </c>
      <c r="H46" s="10">
        <f t="shared" si="11"/>
        <v>23468</v>
      </c>
      <c r="I46" s="55" t="s">
        <v>247</v>
      </c>
      <c r="J46" s="56" t="s">
        <v>248</v>
      </c>
      <c r="K46" s="55">
        <v>23468</v>
      </c>
      <c r="L46" s="55" t="s">
        <v>246</v>
      </c>
      <c r="M46" s="56" t="s">
        <v>234</v>
      </c>
      <c r="N46" s="56" t="s">
        <v>235</v>
      </c>
      <c r="O46" s="57" t="s">
        <v>236</v>
      </c>
      <c r="P46" s="58" t="s">
        <v>249</v>
      </c>
    </row>
    <row r="47" spans="1:16" ht="12.75" customHeight="1" thickBot="1" x14ac:dyDescent="0.25">
      <c r="A47" s="10" t="str">
        <f t="shared" si="6"/>
        <v>IBVS 5263 </v>
      </c>
      <c r="B47" s="5" t="str">
        <f t="shared" si="7"/>
        <v>I</v>
      </c>
      <c r="C47" s="10">
        <f t="shared" si="8"/>
        <v>51379.381300000001</v>
      </c>
      <c r="D47" s="3" t="str">
        <f t="shared" si="9"/>
        <v>vis</v>
      </c>
      <c r="E47" s="54">
        <f>VLOOKUP(C47,Active!C$21:E$973,3,FALSE)</f>
        <v>1425.0303963116744</v>
      </c>
      <c r="F47" s="5" t="s">
        <v>123</v>
      </c>
      <c r="G47" s="3" t="str">
        <f t="shared" si="10"/>
        <v>51379.3813</v>
      </c>
      <c r="H47" s="10">
        <f t="shared" si="11"/>
        <v>24432</v>
      </c>
      <c r="I47" s="55" t="s">
        <v>250</v>
      </c>
      <c r="J47" s="56" t="s">
        <v>251</v>
      </c>
      <c r="K47" s="55">
        <v>24432</v>
      </c>
      <c r="L47" s="55" t="s">
        <v>252</v>
      </c>
      <c r="M47" s="56" t="s">
        <v>234</v>
      </c>
      <c r="N47" s="56" t="s">
        <v>253</v>
      </c>
      <c r="O47" s="57" t="s">
        <v>254</v>
      </c>
      <c r="P47" s="58" t="s">
        <v>255</v>
      </c>
    </row>
    <row r="48" spans="1:16" ht="12.75" customHeight="1" thickBot="1" x14ac:dyDescent="0.25">
      <c r="A48" s="10" t="str">
        <f t="shared" si="6"/>
        <v>OEJV 0074 </v>
      </c>
      <c r="B48" s="5" t="str">
        <f t="shared" si="7"/>
        <v>I</v>
      </c>
      <c r="C48" s="10">
        <f t="shared" si="8"/>
        <v>51782.535830000001</v>
      </c>
      <c r="D48" s="3" t="str">
        <f t="shared" si="9"/>
        <v>vis</v>
      </c>
      <c r="E48" s="54">
        <f>VLOOKUP(C48,Active!C$21:E$973,3,FALSE)</f>
        <v>2012.9763604918971</v>
      </c>
      <c r="F48" s="5" t="s">
        <v>123</v>
      </c>
      <c r="G48" s="3" t="str">
        <f t="shared" si="10"/>
        <v>51782.53583</v>
      </c>
      <c r="H48" s="10">
        <f t="shared" si="11"/>
        <v>25020</v>
      </c>
      <c r="I48" s="55" t="s">
        <v>256</v>
      </c>
      <c r="J48" s="56" t="s">
        <v>257</v>
      </c>
      <c r="K48" s="55">
        <v>25020</v>
      </c>
      <c r="L48" s="55" t="s">
        <v>258</v>
      </c>
      <c r="M48" s="56" t="s">
        <v>259</v>
      </c>
      <c r="N48" s="56" t="s">
        <v>235</v>
      </c>
      <c r="O48" s="57" t="s">
        <v>260</v>
      </c>
      <c r="P48" s="58" t="s">
        <v>261</v>
      </c>
    </row>
    <row r="49" spans="1:16" ht="12.75" customHeight="1" thickBot="1" x14ac:dyDescent="0.25">
      <c r="A49" s="10" t="str">
        <f t="shared" si="6"/>
        <v>OEJV 0074 </v>
      </c>
      <c r="B49" s="5" t="str">
        <f t="shared" si="7"/>
        <v>I</v>
      </c>
      <c r="C49" s="10">
        <f t="shared" si="8"/>
        <v>52140.466979999997</v>
      </c>
      <c r="D49" s="3" t="str">
        <f t="shared" si="9"/>
        <v>vis</v>
      </c>
      <c r="E49" s="54">
        <f>VLOOKUP(C49,Active!C$21:E$973,3,FALSE)</f>
        <v>2534.9701852838052</v>
      </c>
      <c r="F49" s="5" t="s">
        <v>123</v>
      </c>
      <c r="G49" s="3" t="str">
        <f t="shared" si="10"/>
        <v>52140.46698</v>
      </c>
      <c r="H49" s="10">
        <f t="shared" si="11"/>
        <v>25542</v>
      </c>
      <c r="I49" s="55" t="s">
        <v>262</v>
      </c>
      <c r="J49" s="56" t="s">
        <v>263</v>
      </c>
      <c r="K49" s="55">
        <v>25542</v>
      </c>
      <c r="L49" s="55" t="s">
        <v>264</v>
      </c>
      <c r="M49" s="56" t="s">
        <v>259</v>
      </c>
      <c r="N49" s="56" t="s">
        <v>235</v>
      </c>
      <c r="O49" s="57" t="s">
        <v>260</v>
      </c>
      <c r="P49" s="58" t="s">
        <v>261</v>
      </c>
    </row>
    <row r="50" spans="1:16" ht="12.75" customHeight="1" thickBot="1" x14ac:dyDescent="0.25">
      <c r="A50" s="10" t="str">
        <f t="shared" si="6"/>
        <v>IBVS 5676 </v>
      </c>
      <c r="B50" s="5" t="str">
        <f t="shared" si="7"/>
        <v>I</v>
      </c>
      <c r="C50" s="10">
        <f t="shared" si="8"/>
        <v>52858.3825</v>
      </c>
      <c r="D50" s="3" t="str">
        <f t="shared" si="9"/>
        <v>vis</v>
      </c>
      <c r="E50" s="54">
        <f>VLOOKUP(C50,Active!C$21:E$973,3,FALSE)</f>
        <v>3581.9521765474219</v>
      </c>
      <c r="F50" s="5" t="s">
        <v>123</v>
      </c>
      <c r="G50" s="3" t="str">
        <f t="shared" si="10"/>
        <v>52858.3825</v>
      </c>
      <c r="H50" s="10">
        <f t="shared" si="11"/>
        <v>26589</v>
      </c>
      <c r="I50" s="55" t="s">
        <v>265</v>
      </c>
      <c r="J50" s="56" t="s">
        <v>266</v>
      </c>
      <c r="K50" s="55">
        <v>26589</v>
      </c>
      <c r="L50" s="55" t="s">
        <v>267</v>
      </c>
      <c r="M50" s="56" t="s">
        <v>234</v>
      </c>
      <c r="N50" s="56" t="s">
        <v>253</v>
      </c>
      <c r="O50" s="57" t="s">
        <v>268</v>
      </c>
      <c r="P50" s="58" t="s">
        <v>269</v>
      </c>
    </row>
    <row r="51" spans="1:16" ht="12.75" customHeight="1" thickBot="1" x14ac:dyDescent="0.25">
      <c r="A51" s="10" t="str">
        <f t="shared" si="6"/>
        <v>IBVS 5592 </v>
      </c>
      <c r="B51" s="5" t="str">
        <f t="shared" si="7"/>
        <v>I</v>
      </c>
      <c r="C51" s="10">
        <f t="shared" si="8"/>
        <v>52900.209600000002</v>
      </c>
      <c r="D51" s="3" t="str">
        <f t="shared" si="9"/>
        <v>vis</v>
      </c>
      <c r="E51" s="54">
        <f>VLOOKUP(C51,Active!C$21:E$973,3,FALSE)</f>
        <v>3642.9513041979631</v>
      </c>
      <c r="F51" s="5" t="s">
        <v>123</v>
      </c>
      <c r="G51" s="3" t="str">
        <f t="shared" si="10"/>
        <v>52900.2096</v>
      </c>
      <c r="H51" s="10">
        <f t="shared" si="11"/>
        <v>26650</v>
      </c>
      <c r="I51" s="55" t="s">
        <v>270</v>
      </c>
      <c r="J51" s="56" t="s">
        <v>271</v>
      </c>
      <c r="K51" s="55">
        <v>26650</v>
      </c>
      <c r="L51" s="55" t="s">
        <v>272</v>
      </c>
      <c r="M51" s="56" t="s">
        <v>234</v>
      </c>
      <c r="N51" s="56" t="s">
        <v>253</v>
      </c>
      <c r="O51" s="57" t="s">
        <v>273</v>
      </c>
      <c r="P51" s="58" t="s">
        <v>274</v>
      </c>
    </row>
    <row r="52" spans="1:16" ht="12.75" customHeight="1" thickBot="1" x14ac:dyDescent="0.25">
      <c r="A52" s="10" t="str">
        <f t="shared" si="6"/>
        <v>BAVM 172 </v>
      </c>
      <c r="B52" s="5" t="str">
        <f t="shared" si="7"/>
        <v>I</v>
      </c>
      <c r="C52" s="10">
        <f t="shared" si="8"/>
        <v>52901.5887</v>
      </c>
      <c r="D52" s="3" t="str">
        <f t="shared" si="9"/>
        <v>vis</v>
      </c>
      <c r="E52" s="54">
        <f>VLOOKUP(C52,Active!C$21:E$973,3,FALSE)</f>
        <v>3644.9625336865665</v>
      </c>
      <c r="F52" s="5" t="s">
        <v>123</v>
      </c>
      <c r="G52" s="3" t="str">
        <f t="shared" si="10"/>
        <v>52901.5887</v>
      </c>
      <c r="H52" s="10">
        <f t="shared" si="11"/>
        <v>26652</v>
      </c>
      <c r="I52" s="55" t="s">
        <v>275</v>
      </c>
      <c r="J52" s="56" t="s">
        <v>276</v>
      </c>
      <c r="K52" s="55">
        <v>26652</v>
      </c>
      <c r="L52" s="55" t="s">
        <v>277</v>
      </c>
      <c r="M52" s="56" t="s">
        <v>234</v>
      </c>
      <c r="N52" s="56" t="s">
        <v>235</v>
      </c>
      <c r="O52" s="57" t="s">
        <v>278</v>
      </c>
      <c r="P52" s="58" t="s">
        <v>279</v>
      </c>
    </row>
    <row r="53" spans="1:16" ht="12.75" customHeight="1" thickBot="1" x14ac:dyDescent="0.25">
      <c r="A53" s="10" t="str">
        <f t="shared" si="6"/>
        <v>IBVS 5676 </v>
      </c>
      <c r="B53" s="5" t="str">
        <f t="shared" si="7"/>
        <v>I</v>
      </c>
      <c r="C53" s="10">
        <f t="shared" si="8"/>
        <v>53222.483500000002</v>
      </c>
      <c r="D53" s="3" t="str">
        <f t="shared" si="9"/>
        <v>vis</v>
      </c>
      <c r="E53" s="54">
        <f>VLOOKUP(C53,Active!C$21:E$973,3,FALSE)</f>
        <v>4112.9438871056163</v>
      </c>
      <c r="F53" s="5" t="s">
        <v>123</v>
      </c>
      <c r="G53" s="3" t="str">
        <f t="shared" si="10"/>
        <v>53222.4835</v>
      </c>
      <c r="H53" s="10">
        <f t="shared" si="11"/>
        <v>27120</v>
      </c>
      <c r="I53" s="55" t="s">
        <v>280</v>
      </c>
      <c r="J53" s="56" t="s">
        <v>281</v>
      </c>
      <c r="K53" s="55">
        <v>27120</v>
      </c>
      <c r="L53" s="55" t="s">
        <v>282</v>
      </c>
      <c r="M53" s="56" t="s">
        <v>234</v>
      </c>
      <c r="N53" s="56" t="s">
        <v>253</v>
      </c>
      <c r="O53" s="57" t="s">
        <v>268</v>
      </c>
      <c r="P53" s="58" t="s">
        <v>269</v>
      </c>
    </row>
    <row r="54" spans="1:16" ht="12.75" customHeight="1" thickBot="1" x14ac:dyDescent="0.25">
      <c r="A54" s="10" t="str">
        <f t="shared" si="6"/>
        <v>BAVM 178 </v>
      </c>
      <c r="B54" s="5" t="str">
        <f t="shared" si="7"/>
        <v>II</v>
      </c>
      <c r="C54" s="10">
        <f t="shared" si="8"/>
        <v>53620.521800000002</v>
      </c>
      <c r="D54" s="3" t="str">
        <f t="shared" si="9"/>
        <v>vis</v>
      </c>
      <c r="E54" s="54">
        <f>VLOOKUP(C54,Active!C$21:E$973,3,FALSE)</f>
        <v>4693.4285267651458</v>
      </c>
      <c r="F54" s="5" t="s">
        <v>123</v>
      </c>
      <c r="G54" s="3" t="str">
        <f t="shared" si="10"/>
        <v>53620.5218</v>
      </c>
      <c r="H54" s="10">
        <f t="shared" si="11"/>
        <v>27700.5</v>
      </c>
      <c r="I54" s="55" t="s">
        <v>297</v>
      </c>
      <c r="J54" s="56" t="s">
        <v>298</v>
      </c>
      <c r="K54" s="55">
        <v>27700.5</v>
      </c>
      <c r="L54" s="55" t="s">
        <v>299</v>
      </c>
      <c r="M54" s="56" t="s">
        <v>259</v>
      </c>
      <c r="N54" s="56" t="s">
        <v>300</v>
      </c>
      <c r="O54" s="57" t="s">
        <v>278</v>
      </c>
      <c r="P54" s="58" t="s">
        <v>301</v>
      </c>
    </row>
    <row r="55" spans="1:16" ht="12.75" customHeight="1" thickBot="1" x14ac:dyDescent="0.25">
      <c r="A55" s="10" t="str">
        <f t="shared" si="6"/>
        <v>BAVM 178 </v>
      </c>
      <c r="B55" s="5" t="str">
        <f t="shared" si="7"/>
        <v>I</v>
      </c>
      <c r="C55" s="10">
        <f t="shared" si="8"/>
        <v>53621.558299999997</v>
      </c>
      <c r="D55" s="3" t="str">
        <f t="shared" si="9"/>
        <v>vis</v>
      </c>
      <c r="E55" s="54">
        <f>VLOOKUP(C55,Active!C$21:E$973,3,FALSE)</f>
        <v>4694.9401208228128</v>
      </c>
      <c r="F55" s="5" t="s">
        <v>123</v>
      </c>
      <c r="G55" s="3" t="str">
        <f t="shared" si="10"/>
        <v>53621.5583</v>
      </c>
      <c r="H55" s="10">
        <f t="shared" si="11"/>
        <v>27702</v>
      </c>
      <c r="I55" s="55" t="s">
        <v>302</v>
      </c>
      <c r="J55" s="56" t="s">
        <v>303</v>
      </c>
      <c r="K55" s="55" t="s">
        <v>304</v>
      </c>
      <c r="L55" s="55" t="s">
        <v>305</v>
      </c>
      <c r="M55" s="56" t="s">
        <v>259</v>
      </c>
      <c r="N55" s="56" t="s">
        <v>300</v>
      </c>
      <c r="O55" s="57" t="s">
        <v>278</v>
      </c>
      <c r="P55" s="58" t="s">
        <v>301</v>
      </c>
    </row>
    <row r="56" spans="1:16" ht="12.75" customHeight="1" thickBot="1" x14ac:dyDescent="0.25">
      <c r="A56" s="10" t="str">
        <f t="shared" si="6"/>
        <v>BAVM 178 </v>
      </c>
      <c r="B56" s="5" t="str">
        <f t="shared" si="7"/>
        <v>I</v>
      </c>
      <c r="C56" s="10">
        <f t="shared" si="8"/>
        <v>53637.323900000003</v>
      </c>
      <c r="D56" s="3" t="str">
        <f t="shared" si="9"/>
        <v>vis</v>
      </c>
      <c r="E56" s="54">
        <f>VLOOKUP(C56,Active!C$21:E$973,3,FALSE)</f>
        <v>4717.9321008283041</v>
      </c>
      <c r="F56" s="5" t="s">
        <v>123</v>
      </c>
      <c r="G56" s="3" t="str">
        <f t="shared" si="10"/>
        <v>53637.3239</v>
      </c>
      <c r="H56" s="10">
        <f t="shared" si="11"/>
        <v>27725</v>
      </c>
      <c r="I56" s="55" t="s">
        <v>306</v>
      </c>
      <c r="J56" s="56" t="s">
        <v>307</v>
      </c>
      <c r="K56" s="55" t="s">
        <v>308</v>
      </c>
      <c r="L56" s="55" t="s">
        <v>309</v>
      </c>
      <c r="M56" s="56" t="s">
        <v>259</v>
      </c>
      <c r="N56" s="56" t="s">
        <v>300</v>
      </c>
      <c r="O56" s="57" t="s">
        <v>278</v>
      </c>
      <c r="P56" s="58" t="s">
        <v>301</v>
      </c>
    </row>
    <row r="57" spans="1:16" ht="12.75" customHeight="1" thickBot="1" x14ac:dyDescent="0.25">
      <c r="A57" s="10" t="str">
        <f t="shared" si="6"/>
        <v>BAVM 178 </v>
      </c>
      <c r="B57" s="5" t="str">
        <f t="shared" si="7"/>
        <v>II</v>
      </c>
      <c r="C57" s="10">
        <f t="shared" si="8"/>
        <v>53660.301200000002</v>
      </c>
      <c r="D57" s="3" t="str">
        <f t="shared" si="9"/>
        <v>vis</v>
      </c>
      <c r="E57" s="54">
        <f>VLOOKUP(C57,Active!C$21:E$973,3,FALSE)</f>
        <v>4751.4413629039591</v>
      </c>
      <c r="F57" s="5" t="s">
        <v>123</v>
      </c>
      <c r="G57" s="3" t="str">
        <f t="shared" si="10"/>
        <v>53660.3012</v>
      </c>
      <c r="H57" s="10">
        <f t="shared" si="11"/>
        <v>27758.5</v>
      </c>
      <c r="I57" s="55" t="s">
        <v>310</v>
      </c>
      <c r="J57" s="56" t="s">
        <v>311</v>
      </c>
      <c r="K57" s="55" t="s">
        <v>312</v>
      </c>
      <c r="L57" s="55" t="s">
        <v>313</v>
      </c>
      <c r="M57" s="56" t="s">
        <v>259</v>
      </c>
      <c r="N57" s="56" t="s">
        <v>300</v>
      </c>
      <c r="O57" s="57" t="s">
        <v>278</v>
      </c>
      <c r="P57" s="58" t="s">
        <v>301</v>
      </c>
    </row>
    <row r="58" spans="1:16" ht="12.75" customHeight="1" thickBot="1" x14ac:dyDescent="0.25">
      <c r="A58" s="10" t="str">
        <f t="shared" si="6"/>
        <v>BAVM 178 </v>
      </c>
      <c r="B58" s="5" t="str">
        <f t="shared" si="7"/>
        <v>I</v>
      </c>
      <c r="C58" s="10">
        <f t="shared" si="8"/>
        <v>53661.322200000002</v>
      </c>
      <c r="D58" s="3" t="str">
        <f t="shared" si="9"/>
        <v>vis</v>
      </c>
      <c r="E58" s="54">
        <f>VLOOKUP(C58,Active!C$21:E$973,3,FALSE)</f>
        <v>4752.9303523230492</v>
      </c>
      <c r="F58" s="5" t="s">
        <v>123</v>
      </c>
      <c r="G58" s="3" t="str">
        <f t="shared" si="10"/>
        <v>53661.3222</v>
      </c>
      <c r="H58" s="10">
        <f t="shared" si="11"/>
        <v>27760</v>
      </c>
      <c r="I58" s="55" t="s">
        <v>314</v>
      </c>
      <c r="J58" s="56" t="s">
        <v>315</v>
      </c>
      <c r="K58" s="55" t="s">
        <v>316</v>
      </c>
      <c r="L58" s="55" t="s">
        <v>317</v>
      </c>
      <c r="M58" s="56" t="s">
        <v>259</v>
      </c>
      <c r="N58" s="56" t="s">
        <v>300</v>
      </c>
      <c r="O58" s="57" t="s">
        <v>278</v>
      </c>
      <c r="P58" s="58" t="s">
        <v>301</v>
      </c>
    </row>
    <row r="59" spans="1:16" ht="12.75" customHeight="1" thickBot="1" x14ac:dyDescent="0.25">
      <c r="A59" s="10" t="str">
        <f t="shared" si="6"/>
        <v>BAVM 178 </v>
      </c>
      <c r="B59" s="5" t="str">
        <f t="shared" si="7"/>
        <v>I</v>
      </c>
      <c r="C59" s="10">
        <f t="shared" si="8"/>
        <v>53661.323299999996</v>
      </c>
      <c r="D59" s="3" t="str">
        <f t="shared" si="9"/>
        <v>vis</v>
      </c>
      <c r="E59" s="54">
        <f>VLOOKUP(C59,Active!C$21:E$973,3,FALSE)</f>
        <v>4752.931956523199</v>
      </c>
      <c r="F59" s="5" t="s">
        <v>123</v>
      </c>
      <c r="G59" s="3" t="str">
        <f t="shared" si="10"/>
        <v>53661.3233</v>
      </c>
      <c r="H59" s="10">
        <f t="shared" si="11"/>
        <v>27760</v>
      </c>
      <c r="I59" s="55" t="s">
        <v>318</v>
      </c>
      <c r="J59" s="56" t="s">
        <v>319</v>
      </c>
      <c r="K59" s="55" t="s">
        <v>316</v>
      </c>
      <c r="L59" s="55" t="s">
        <v>320</v>
      </c>
      <c r="M59" s="56" t="s">
        <v>259</v>
      </c>
      <c r="N59" s="56" t="s">
        <v>300</v>
      </c>
      <c r="O59" s="57" t="s">
        <v>321</v>
      </c>
      <c r="P59" s="58" t="s">
        <v>301</v>
      </c>
    </row>
    <row r="60" spans="1:16" ht="12.75" customHeight="1" thickBot="1" x14ac:dyDescent="0.25">
      <c r="A60" s="10" t="str">
        <f t="shared" si="6"/>
        <v>BAVM 178 </v>
      </c>
      <c r="B60" s="5" t="str">
        <f t="shared" si="7"/>
        <v>II</v>
      </c>
      <c r="C60" s="10">
        <f t="shared" si="8"/>
        <v>53662.349900000001</v>
      </c>
      <c r="D60" s="3" t="str">
        <f t="shared" si="9"/>
        <v>vis</v>
      </c>
      <c r="E60" s="54">
        <f>VLOOKUP(C60,Active!C$21:E$973,3,FALSE)</f>
        <v>4754.4291127794613</v>
      </c>
      <c r="F60" s="5" t="s">
        <v>123</v>
      </c>
      <c r="G60" s="3" t="str">
        <f t="shared" si="10"/>
        <v>53662.3499</v>
      </c>
      <c r="H60" s="10">
        <f t="shared" si="11"/>
        <v>27761.5</v>
      </c>
      <c r="I60" s="55" t="s">
        <v>322</v>
      </c>
      <c r="J60" s="56" t="s">
        <v>323</v>
      </c>
      <c r="K60" s="55" t="s">
        <v>324</v>
      </c>
      <c r="L60" s="55" t="s">
        <v>325</v>
      </c>
      <c r="M60" s="56" t="s">
        <v>259</v>
      </c>
      <c r="N60" s="56" t="s">
        <v>300</v>
      </c>
      <c r="O60" s="57" t="s">
        <v>208</v>
      </c>
      <c r="P60" s="58" t="s">
        <v>301</v>
      </c>
    </row>
    <row r="61" spans="1:16" ht="12.75" customHeight="1" thickBot="1" x14ac:dyDescent="0.25">
      <c r="A61" s="10" t="str">
        <f t="shared" si="6"/>
        <v>BAVM 186 </v>
      </c>
      <c r="B61" s="5" t="str">
        <f t="shared" si="7"/>
        <v>I</v>
      </c>
      <c r="C61" s="10">
        <f t="shared" si="8"/>
        <v>54252.3868</v>
      </c>
      <c r="D61" s="3" t="str">
        <f t="shared" si="9"/>
        <v>vis</v>
      </c>
      <c r="E61" s="54">
        <f>VLOOKUP(C61,Active!C$21:E$973,3,FALSE)</f>
        <v>5614.9175564350726</v>
      </c>
      <c r="F61" s="5" t="s">
        <v>123</v>
      </c>
      <c r="G61" s="3" t="str">
        <f t="shared" si="10"/>
        <v>54252.3868</v>
      </c>
      <c r="H61" s="10">
        <f t="shared" si="11"/>
        <v>28622</v>
      </c>
      <c r="I61" s="55" t="s">
        <v>326</v>
      </c>
      <c r="J61" s="56" t="s">
        <v>327</v>
      </c>
      <c r="K61" s="55" t="s">
        <v>328</v>
      </c>
      <c r="L61" s="55" t="s">
        <v>329</v>
      </c>
      <c r="M61" s="56" t="s">
        <v>259</v>
      </c>
      <c r="N61" s="56" t="s">
        <v>300</v>
      </c>
      <c r="O61" s="57" t="s">
        <v>278</v>
      </c>
      <c r="P61" s="58" t="s">
        <v>330</v>
      </c>
    </row>
    <row r="62" spans="1:16" ht="12.75" customHeight="1" thickBot="1" x14ac:dyDescent="0.25">
      <c r="A62" s="10" t="str">
        <f t="shared" si="6"/>
        <v>BAVM 215 </v>
      </c>
      <c r="B62" s="5" t="str">
        <f t="shared" si="7"/>
        <v>I</v>
      </c>
      <c r="C62" s="10">
        <f t="shared" si="8"/>
        <v>55397.484900000003</v>
      </c>
      <c r="D62" s="3" t="str">
        <f t="shared" si="9"/>
        <v>vis</v>
      </c>
      <c r="E62" s="54">
        <f>VLOOKUP(C62,Active!C$21:E$973,3,FALSE)</f>
        <v>7284.8871496961056</v>
      </c>
      <c r="F62" s="5" t="s">
        <v>123</v>
      </c>
      <c r="G62" s="3" t="str">
        <f t="shared" si="10"/>
        <v>55397.4849</v>
      </c>
      <c r="H62" s="10">
        <f t="shared" si="11"/>
        <v>30292</v>
      </c>
      <c r="I62" s="55" t="s">
        <v>354</v>
      </c>
      <c r="J62" s="56" t="s">
        <v>355</v>
      </c>
      <c r="K62" s="55" t="s">
        <v>356</v>
      </c>
      <c r="L62" s="55" t="s">
        <v>357</v>
      </c>
      <c r="M62" s="56" t="s">
        <v>259</v>
      </c>
      <c r="N62" s="56" t="s">
        <v>300</v>
      </c>
      <c r="O62" s="57" t="s">
        <v>278</v>
      </c>
      <c r="P62" s="58" t="s">
        <v>358</v>
      </c>
    </row>
    <row r="63" spans="1:16" ht="12.75" customHeight="1" thickBot="1" x14ac:dyDescent="0.25">
      <c r="A63" s="10" t="str">
        <f t="shared" si="6"/>
        <v>IBVS 5741 </v>
      </c>
      <c r="B63" s="5" t="str">
        <f t="shared" si="7"/>
        <v>I</v>
      </c>
      <c r="C63" s="10">
        <f t="shared" si="8"/>
        <v>53290.367200000001</v>
      </c>
      <c r="D63" s="3" t="str">
        <f t="shared" si="9"/>
        <v>vis</v>
      </c>
      <c r="E63" s="54">
        <f>VLOOKUP(C63,Active!C$21:E$973,3,FALSE)</f>
        <v>4211.9430164186861</v>
      </c>
      <c r="F63" s="5" t="s">
        <v>123</v>
      </c>
      <c r="G63" s="3" t="str">
        <f t="shared" si="10"/>
        <v>53290.3672</v>
      </c>
      <c r="H63" s="10">
        <f t="shared" si="11"/>
        <v>27219</v>
      </c>
      <c r="I63" s="55" t="s">
        <v>283</v>
      </c>
      <c r="J63" s="56" t="s">
        <v>284</v>
      </c>
      <c r="K63" s="55">
        <v>27219</v>
      </c>
      <c r="L63" s="55" t="s">
        <v>285</v>
      </c>
      <c r="M63" s="56" t="s">
        <v>234</v>
      </c>
      <c r="N63" s="56" t="s">
        <v>253</v>
      </c>
      <c r="O63" s="57" t="s">
        <v>286</v>
      </c>
      <c r="P63" s="58" t="s">
        <v>287</v>
      </c>
    </row>
    <row r="64" spans="1:16" ht="12.75" customHeight="1" thickBot="1" x14ac:dyDescent="0.25">
      <c r="A64" s="10" t="str">
        <f t="shared" si="6"/>
        <v>OEJV 0003 </v>
      </c>
      <c r="B64" s="5" t="str">
        <f t="shared" si="7"/>
        <v>I</v>
      </c>
      <c r="C64" s="10">
        <f t="shared" si="8"/>
        <v>53532.447</v>
      </c>
      <c r="D64" s="3" t="str">
        <f t="shared" si="9"/>
        <v>vis</v>
      </c>
      <c r="E64" s="54">
        <f>VLOOKUP(C64,Active!C$21:E$973,3,FALSE)</f>
        <v>4564.9834285394563</v>
      </c>
      <c r="F64" s="5" t="s">
        <v>123</v>
      </c>
      <c r="G64" s="3" t="str">
        <f t="shared" si="10"/>
        <v>53532.447</v>
      </c>
      <c r="H64" s="10">
        <f t="shared" si="11"/>
        <v>27572</v>
      </c>
      <c r="I64" s="55" t="s">
        <v>288</v>
      </c>
      <c r="J64" s="56" t="s">
        <v>289</v>
      </c>
      <c r="K64" s="55">
        <v>27572</v>
      </c>
      <c r="L64" s="55" t="s">
        <v>290</v>
      </c>
      <c r="M64" s="56" t="s">
        <v>291</v>
      </c>
      <c r="N64" s="56"/>
      <c r="O64" s="57" t="s">
        <v>292</v>
      </c>
      <c r="P64" s="58" t="s">
        <v>293</v>
      </c>
    </row>
    <row r="65" spans="1:16" ht="12.75" customHeight="1" thickBot="1" x14ac:dyDescent="0.25">
      <c r="A65" s="10" t="str">
        <f t="shared" si="6"/>
        <v>OEJV 0003 </v>
      </c>
      <c r="B65" s="5" t="str">
        <f t="shared" si="7"/>
        <v>I</v>
      </c>
      <c r="C65" s="10">
        <f t="shared" si="8"/>
        <v>53578.383999999998</v>
      </c>
      <c r="D65" s="3" t="str">
        <f t="shared" si="9"/>
        <v>vis</v>
      </c>
      <c r="E65" s="54">
        <f>VLOOKUP(C65,Active!C$21:E$973,3,FALSE)</f>
        <v>4631.9762854882438</v>
      </c>
      <c r="F65" s="5" t="s">
        <v>123</v>
      </c>
      <c r="G65" s="3" t="str">
        <f t="shared" si="10"/>
        <v>53578.384</v>
      </c>
      <c r="H65" s="10">
        <f t="shared" si="11"/>
        <v>27639</v>
      </c>
      <c r="I65" s="55" t="s">
        <v>294</v>
      </c>
      <c r="J65" s="56" t="s">
        <v>295</v>
      </c>
      <c r="K65" s="55">
        <v>27639</v>
      </c>
      <c r="L65" s="55" t="s">
        <v>296</v>
      </c>
      <c r="M65" s="56" t="s">
        <v>291</v>
      </c>
      <c r="N65" s="56"/>
      <c r="O65" s="57" t="s">
        <v>292</v>
      </c>
      <c r="P65" s="58" t="s">
        <v>293</v>
      </c>
    </row>
    <row r="66" spans="1:16" ht="12.75" customHeight="1" thickBot="1" x14ac:dyDescent="0.25">
      <c r="A66" s="10" t="str">
        <f t="shared" si="6"/>
        <v>BAVM 193 </v>
      </c>
      <c r="B66" s="5" t="str">
        <f t="shared" si="7"/>
        <v>I</v>
      </c>
      <c r="C66" s="10">
        <f t="shared" si="8"/>
        <v>54339.470699999998</v>
      </c>
      <c r="D66" s="3" t="str">
        <f t="shared" si="9"/>
        <v>vis</v>
      </c>
      <c r="E66" s="54">
        <f>VLOOKUP(C66,Active!C$21:E$973,3,FALSE)</f>
        <v>5741.9175619914349</v>
      </c>
      <c r="F66" s="5" t="s">
        <v>123</v>
      </c>
      <c r="G66" s="3" t="str">
        <f t="shared" si="10"/>
        <v>54339.4707</v>
      </c>
      <c r="H66" s="10">
        <f t="shared" si="11"/>
        <v>28749</v>
      </c>
      <c r="I66" s="55" t="s">
        <v>331</v>
      </c>
      <c r="J66" s="56" t="s">
        <v>332</v>
      </c>
      <c r="K66" s="55" t="s">
        <v>333</v>
      </c>
      <c r="L66" s="55" t="s">
        <v>329</v>
      </c>
      <c r="M66" s="56" t="s">
        <v>259</v>
      </c>
      <c r="N66" s="56" t="s">
        <v>300</v>
      </c>
      <c r="O66" s="57" t="s">
        <v>278</v>
      </c>
      <c r="P66" s="58" t="s">
        <v>334</v>
      </c>
    </row>
    <row r="67" spans="1:16" ht="12.75" customHeight="1" thickBot="1" x14ac:dyDescent="0.25">
      <c r="A67" s="10" t="str">
        <f t="shared" si="6"/>
        <v>BAVM 209 </v>
      </c>
      <c r="B67" s="5" t="str">
        <f t="shared" si="7"/>
        <v>I</v>
      </c>
      <c r="C67" s="10">
        <f t="shared" si="8"/>
        <v>54941.502999999997</v>
      </c>
      <c r="D67" s="3" t="str">
        <f t="shared" si="9"/>
        <v>vis</v>
      </c>
      <c r="E67" s="54">
        <f>VLOOKUP(C67,Active!C$21:E$973,3,FALSE)</f>
        <v>6619.8996625302452</v>
      </c>
      <c r="F67" s="5" t="s">
        <v>123</v>
      </c>
      <c r="G67" s="3" t="str">
        <f t="shared" si="10"/>
        <v>54941.503</v>
      </c>
      <c r="H67" s="10">
        <f t="shared" si="11"/>
        <v>29627</v>
      </c>
      <c r="I67" s="55" t="s">
        <v>335</v>
      </c>
      <c r="J67" s="56" t="s">
        <v>336</v>
      </c>
      <c r="K67" s="55" t="s">
        <v>337</v>
      </c>
      <c r="L67" s="55" t="s">
        <v>338</v>
      </c>
      <c r="M67" s="56" t="s">
        <v>259</v>
      </c>
      <c r="N67" s="56" t="s">
        <v>235</v>
      </c>
      <c r="O67" s="57" t="s">
        <v>339</v>
      </c>
      <c r="P67" s="58" t="s">
        <v>340</v>
      </c>
    </row>
    <row r="68" spans="1:16" ht="12.75" customHeight="1" thickBot="1" x14ac:dyDescent="0.25">
      <c r="A68" s="10" t="str">
        <f t="shared" si="6"/>
        <v>BAVM 209 </v>
      </c>
      <c r="B68" s="5" t="str">
        <f t="shared" si="7"/>
        <v>I</v>
      </c>
      <c r="C68" s="10">
        <f t="shared" si="8"/>
        <v>54985.387999999999</v>
      </c>
      <c r="D68" s="3" t="str">
        <f t="shared" si="9"/>
        <v>vis</v>
      </c>
      <c r="E68" s="54">
        <f>VLOOKUP(C68,Active!C$21:E$973,3,FALSE)</f>
        <v>6683.8999570030619</v>
      </c>
      <c r="F68" s="5" t="s">
        <v>123</v>
      </c>
      <c r="G68" s="3" t="str">
        <f t="shared" si="10"/>
        <v>54985.388</v>
      </c>
      <c r="H68" s="10">
        <f t="shared" si="11"/>
        <v>29691</v>
      </c>
      <c r="I68" s="55" t="s">
        <v>341</v>
      </c>
      <c r="J68" s="56" t="s">
        <v>342</v>
      </c>
      <c r="K68" s="55" t="s">
        <v>343</v>
      </c>
      <c r="L68" s="55" t="s">
        <v>338</v>
      </c>
      <c r="M68" s="56" t="s">
        <v>259</v>
      </c>
      <c r="N68" s="56" t="s">
        <v>235</v>
      </c>
      <c r="O68" s="57" t="s">
        <v>339</v>
      </c>
      <c r="P68" s="58" t="s">
        <v>340</v>
      </c>
    </row>
    <row r="69" spans="1:16" ht="12.75" customHeight="1" thickBot="1" x14ac:dyDescent="0.25">
      <c r="A69" s="10" t="str">
        <f t="shared" si="6"/>
        <v>BAVM 212 </v>
      </c>
      <c r="B69" s="5" t="str">
        <f t="shared" si="7"/>
        <v>I</v>
      </c>
      <c r="C69" s="10">
        <f t="shared" si="8"/>
        <v>55096.469100000002</v>
      </c>
      <c r="D69" s="3" t="str">
        <f t="shared" si="9"/>
        <v>vis</v>
      </c>
      <c r="E69" s="54">
        <f>VLOOKUP(C69,Active!C$21:E$973,3,FALSE)</f>
        <v>6845.8966098540213</v>
      </c>
      <c r="F69" s="5" t="s">
        <v>123</v>
      </c>
      <c r="G69" s="3" t="str">
        <f t="shared" si="10"/>
        <v>55096.4691</v>
      </c>
      <c r="H69" s="10">
        <f t="shared" si="11"/>
        <v>29853</v>
      </c>
      <c r="I69" s="55" t="s">
        <v>344</v>
      </c>
      <c r="J69" s="56" t="s">
        <v>345</v>
      </c>
      <c r="K69" s="55" t="s">
        <v>346</v>
      </c>
      <c r="L69" s="55" t="s">
        <v>347</v>
      </c>
      <c r="M69" s="56" t="s">
        <v>259</v>
      </c>
      <c r="N69" s="56" t="s">
        <v>300</v>
      </c>
      <c r="O69" s="57" t="s">
        <v>278</v>
      </c>
      <c r="P69" s="58" t="s">
        <v>348</v>
      </c>
    </row>
    <row r="70" spans="1:16" ht="12.75" customHeight="1" thickBot="1" x14ac:dyDescent="0.25">
      <c r="A70" s="10" t="str">
        <f t="shared" si="6"/>
        <v>BAVM 214 </v>
      </c>
      <c r="B70" s="5" t="str">
        <f t="shared" si="7"/>
        <v>I</v>
      </c>
      <c r="C70" s="10">
        <f t="shared" si="8"/>
        <v>55375.5435</v>
      </c>
      <c r="D70" s="3" t="str">
        <f t="shared" si="9"/>
        <v>vis</v>
      </c>
      <c r="E70" s="54">
        <f>VLOOKUP(C70,Active!C$21:E$973,3,FALSE)</f>
        <v>7252.8886066598516</v>
      </c>
      <c r="F70" s="5" t="s">
        <v>123</v>
      </c>
      <c r="G70" s="3" t="str">
        <f t="shared" si="10"/>
        <v>55375.5435</v>
      </c>
      <c r="H70" s="10">
        <f t="shared" si="11"/>
        <v>30260</v>
      </c>
      <c r="I70" s="55" t="s">
        <v>349</v>
      </c>
      <c r="J70" s="56" t="s">
        <v>350</v>
      </c>
      <c r="K70" s="55" t="s">
        <v>351</v>
      </c>
      <c r="L70" s="55" t="s">
        <v>352</v>
      </c>
      <c r="M70" s="56" t="s">
        <v>259</v>
      </c>
      <c r="N70" s="56" t="s">
        <v>300</v>
      </c>
      <c r="O70" s="57" t="s">
        <v>278</v>
      </c>
      <c r="P70" s="58" t="s">
        <v>353</v>
      </c>
    </row>
    <row r="71" spans="1:16" ht="12.75" customHeight="1" thickBot="1" x14ac:dyDescent="0.25">
      <c r="A71" s="10" t="str">
        <f t="shared" si="6"/>
        <v>BAVM 220 </v>
      </c>
      <c r="B71" s="5" t="str">
        <f t="shared" si="7"/>
        <v>I</v>
      </c>
      <c r="C71" s="10">
        <f t="shared" si="8"/>
        <v>55641.587599999999</v>
      </c>
      <c r="D71" s="3" t="str">
        <f t="shared" si="9"/>
        <v>vis</v>
      </c>
      <c r="E71" s="54">
        <f>VLOOKUP(C71,Active!C$21:E$973,3,FALSE)</f>
        <v>7640.8776859068566</v>
      </c>
      <c r="F71" s="5" t="s">
        <v>123</v>
      </c>
      <c r="G71" s="3" t="str">
        <f t="shared" si="10"/>
        <v>55641.5876</v>
      </c>
      <c r="H71" s="10">
        <f t="shared" si="11"/>
        <v>30648</v>
      </c>
      <c r="I71" s="55" t="s">
        <v>359</v>
      </c>
      <c r="J71" s="56" t="s">
        <v>360</v>
      </c>
      <c r="K71" s="55" t="s">
        <v>361</v>
      </c>
      <c r="L71" s="55" t="s">
        <v>362</v>
      </c>
      <c r="M71" s="56" t="s">
        <v>259</v>
      </c>
      <c r="N71" s="56" t="s">
        <v>235</v>
      </c>
      <c r="O71" s="57" t="s">
        <v>339</v>
      </c>
      <c r="P71" s="58" t="s">
        <v>363</v>
      </c>
    </row>
    <row r="72" spans="1:16" ht="12.75" customHeight="1" thickBot="1" x14ac:dyDescent="0.25">
      <c r="A72" s="10" t="str">
        <f t="shared" si="6"/>
        <v>BAVM 220 </v>
      </c>
      <c r="B72" s="5" t="str">
        <f t="shared" si="7"/>
        <v>I</v>
      </c>
      <c r="C72" s="10">
        <f t="shared" si="8"/>
        <v>55685.472699999998</v>
      </c>
      <c r="D72" s="3" t="str">
        <f t="shared" si="9"/>
        <v>vis</v>
      </c>
      <c r="E72" s="54">
        <f>VLOOKUP(C72,Active!C$21:E$973,3,FALSE)</f>
        <v>7704.8781262160483</v>
      </c>
      <c r="F72" s="5" t="s">
        <v>123</v>
      </c>
      <c r="G72" s="3" t="str">
        <f t="shared" si="10"/>
        <v>55685.4727</v>
      </c>
      <c r="H72" s="10">
        <f t="shared" si="11"/>
        <v>30712</v>
      </c>
      <c r="I72" s="55" t="s">
        <v>364</v>
      </c>
      <c r="J72" s="56" t="s">
        <v>365</v>
      </c>
      <c r="K72" s="55" t="s">
        <v>366</v>
      </c>
      <c r="L72" s="55" t="s">
        <v>367</v>
      </c>
      <c r="M72" s="56" t="s">
        <v>259</v>
      </c>
      <c r="N72" s="56" t="s">
        <v>235</v>
      </c>
      <c r="O72" s="57" t="s">
        <v>339</v>
      </c>
      <c r="P72" s="58" t="s">
        <v>363</v>
      </c>
    </row>
    <row r="73" spans="1:16" ht="12.75" customHeight="1" thickBot="1" x14ac:dyDescent="0.25">
      <c r="A73" s="10" t="str">
        <f t="shared" si="6"/>
        <v>IBVS 5992 </v>
      </c>
      <c r="B73" s="5" t="str">
        <f t="shared" si="7"/>
        <v>I</v>
      </c>
      <c r="C73" s="10">
        <f t="shared" si="8"/>
        <v>55730.726000000002</v>
      </c>
      <c r="D73" s="3" t="str">
        <f t="shared" si="9"/>
        <v>vis</v>
      </c>
      <c r="E73" s="54">
        <f>VLOOKUP(C73,Active!C$21:E$973,3,FALSE)</f>
        <v>7770.8738998486533</v>
      </c>
      <c r="F73" s="5" t="s">
        <v>123</v>
      </c>
      <c r="G73" s="3" t="str">
        <f t="shared" si="10"/>
        <v>55730.7260</v>
      </c>
      <c r="H73" s="10">
        <f t="shared" si="11"/>
        <v>30778</v>
      </c>
      <c r="I73" s="55" t="s">
        <v>368</v>
      </c>
      <c r="J73" s="56" t="s">
        <v>369</v>
      </c>
      <c r="K73" s="55" t="s">
        <v>370</v>
      </c>
      <c r="L73" s="55" t="s">
        <v>371</v>
      </c>
      <c r="M73" s="56" t="s">
        <v>259</v>
      </c>
      <c r="N73" s="56" t="s">
        <v>123</v>
      </c>
      <c r="O73" s="57" t="s">
        <v>372</v>
      </c>
      <c r="P73" s="58" t="s">
        <v>373</v>
      </c>
    </row>
    <row r="74" spans="1:16" ht="12.75" customHeight="1" thickBot="1" x14ac:dyDescent="0.25">
      <c r="A74" s="10" t="str">
        <f t="shared" si="6"/>
        <v>BAVM 225 </v>
      </c>
      <c r="B74" s="5" t="str">
        <f t="shared" si="7"/>
        <v>I</v>
      </c>
      <c r="C74" s="10">
        <f t="shared" si="8"/>
        <v>55790.3825</v>
      </c>
      <c r="D74" s="3" t="str">
        <f t="shared" si="9"/>
        <v>vis</v>
      </c>
      <c r="E74" s="54">
        <f>VLOOKUP(C74,Active!C$21:E$973,3,FALSE)</f>
        <v>7857.8747786732465</v>
      </c>
      <c r="F74" s="5" t="s">
        <v>123</v>
      </c>
      <c r="G74" s="3" t="str">
        <f t="shared" si="10"/>
        <v>55790.3825</v>
      </c>
      <c r="H74" s="10">
        <f t="shared" si="11"/>
        <v>30865</v>
      </c>
      <c r="I74" s="55" t="s">
        <v>374</v>
      </c>
      <c r="J74" s="56" t="s">
        <v>375</v>
      </c>
      <c r="K74" s="55" t="s">
        <v>376</v>
      </c>
      <c r="L74" s="55" t="s">
        <v>377</v>
      </c>
      <c r="M74" s="56" t="s">
        <v>259</v>
      </c>
      <c r="N74" s="56" t="s">
        <v>300</v>
      </c>
      <c r="O74" s="57" t="s">
        <v>278</v>
      </c>
      <c r="P74" s="58" t="s">
        <v>378</v>
      </c>
    </row>
    <row r="75" spans="1:16" ht="12.75" customHeight="1" thickBot="1" x14ac:dyDescent="0.25">
      <c r="A75" s="10" t="str">
        <f t="shared" si="6"/>
        <v>BAVM 225 </v>
      </c>
      <c r="B75" s="5" t="str">
        <f t="shared" si="7"/>
        <v>I</v>
      </c>
      <c r="C75" s="10">
        <f t="shared" si="8"/>
        <v>55794.497799999997</v>
      </c>
      <c r="D75" s="3" t="str">
        <f t="shared" si="9"/>
        <v>vis</v>
      </c>
      <c r="E75" s="54">
        <f>VLOOKUP(C75,Active!C$21:E$973,3,FALSE)</f>
        <v>7863.8763831359065</v>
      </c>
      <c r="F75" s="5" t="s">
        <v>123</v>
      </c>
      <c r="G75" s="3" t="str">
        <f t="shared" si="10"/>
        <v>55794.4978</v>
      </c>
      <c r="H75" s="10">
        <f t="shared" si="11"/>
        <v>30871</v>
      </c>
      <c r="I75" s="55" t="s">
        <v>379</v>
      </c>
      <c r="J75" s="56" t="s">
        <v>380</v>
      </c>
      <c r="K75" s="55" t="s">
        <v>381</v>
      </c>
      <c r="L75" s="55" t="s">
        <v>382</v>
      </c>
      <c r="M75" s="56" t="s">
        <v>259</v>
      </c>
      <c r="N75" s="56" t="s">
        <v>300</v>
      </c>
      <c r="O75" s="57" t="s">
        <v>278</v>
      </c>
      <c r="P75" s="58" t="s">
        <v>378</v>
      </c>
    </row>
    <row r="76" spans="1:16" ht="12.75" customHeight="1" thickBot="1" x14ac:dyDescent="0.25">
      <c r="A76" s="10" t="str">
        <f t="shared" si="6"/>
        <v>BAVM 225 </v>
      </c>
      <c r="B76" s="5" t="str">
        <f t="shared" si="7"/>
        <v>II</v>
      </c>
      <c r="C76" s="10">
        <f t="shared" si="8"/>
        <v>55804.443200000002</v>
      </c>
      <c r="D76" s="3" t="str">
        <f t="shared" si="9"/>
        <v>vis</v>
      </c>
      <c r="E76" s="54">
        <f>VLOOKUP(C76,Active!C$21:E$973,3,FALSE)</f>
        <v>7878.3803942706945</v>
      </c>
      <c r="F76" s="5" t="s">
        <v>123</v>
      </c>
      <c r="G76" s="3" t="str">
        <f t="shared" si="10"/>
        <v>55804.4432</v>
      </c>
      <c r="H76" s="10">
        <f t="shared" si="11"/>
        <v>30885.5</v>
      </c>
      <c r="I76" s="55" t="s">
        <v>383</v>
      </c>
      <c r="J76" s="56" t="s">
        <v>384</v>
      </c>
      <c r="K76" s="55" t="s">
        <v>385</v>
      </c>
      <c r="L76" s="55" t="s">
        <v>386</v>
      </c>
      <c r="M76" s="56" t="s">
        <v>259</v>
      </c>
      <c r="N76" s="56" t="s">
        <v>300</v>
      </c>
      <c r="O76" s="57" t="s">
        <v>278</v>
      </c>
      <c r="P76" s="58" t="s">
        <v>378</v>
      </c>
    </row>
    <row r="77" spans="1:16" x14ac:dyDescent="0.2">
      <c r="B77" s="5"/>
      <c r="F77" s="5"/>
    </row>
    <row r="78" spans="1:16" x14ac:dyDescent="0.2">
      <c r="B78" s="5"/>
      <c r="F78" s="5"/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</sheetData>
  <phoneticPr fontId="28" type="noConversion"/>
  <hyperlinks>
    <hyperlink ref="P34" r:id="rId1" display="http://www.bav-astro.de/sfs/BAVM_link.php?BAVMnr=56" xr:uid="{00000000-0004-0000-0100-000000000000}"/>
    <hyperlink ref="P35" r:id="rId2" display="http://www.bav-astro.de/sfs/BAVM_link.php?BAVMnr=56" xr:uid="{00000000-0004-0000-0100-000001000000}"/>
    <hyperlink ref="P36" r:id="rId3" display="http://www.bav-astro.de/sfs/BAVM_link.php?BAVMnr=56" xr:uid="{00000000-0004-0000-0100-000002000000}"/>
    <hyperlink ref="P37" r:id="rId4" display="http://www.bav-astro.de/sfs/BAVM_link.php?BAVMnr=60" xr:uid="{00000000-0004-0000-0100-000003000000}"/>
    <hyperlink ref="P38" r:id="rId5" display="http://www.bav-astro.de/sfs/BAVM_link.php?BAVMnr=56" xr:uid="{00000000-0004-0000-0100-000004000000}"/>
    <hyperlink ref="P39" r:id="rId6" display="http://www.bav-astro.de/sfs/BAVM_link.php?BAVMnr=56" xr:uid="{00000000-0004-0000-0100-000005000000}"/>
    <hyperlink ref="P40" r:id="rId7" display="http://www.bav-astro.de/sfs/BAVM_link.php?BAVMnr=56" xr:uid="{00000000-0004-0000-0100-000006000000}"/>
    <hyperlink ref="P41" r:id="rId8" display="http://www.bav-astro.de/sfs/BAVM_link.php?BAVMnr=60" xr:uid="{00000000-0004-0000-0100-000007000000}"/>
    <hyperlink ref="P42" r:id="rId9" display="http://www.bav-astro.de/sfs/BAVM_link.php?BAVMnr=68" xr:uid="{00000000-0004-0000-0100-000008000000}"/>
    <hyperlink ref="P43" r:id="rId10" display="http://www.bav-astro.de/sfs/BAVM_link.php?BAVMnr=68" xr:uid="{00000000-0004-0000-0100-000009000000}"/>
    <hyperlink ref="P44" r:id="rId11" display="http://www.bav-astro.de/sfs/BAVM_link.php?BAVMnr=102" xr:uid="{00000000-0004-0000-0100-00000A000000}"/>
    <hyperlink ref="P45" r:id="rId12" display="http://www.bav-astro.de/sfs/BAVM_link.php?BAVMnr=102" xr:uid="{00000000-0004-0000-0100-00000B000000}"/>
    <hyperlink ref="P46" r:id="rId13" display="http://www.bav-astro.de/sfs/BAVM_link.php?BAVMnr=117" xr:uid="{00000000-0004-0000-0100-00000C000000}"/>
    <hyperlink ref="P47" r:id="rId14" display="http://www.konkoly.hu/cgi-bin/IBVS?5263" xr:uid="{00000000-0004-0000-0100-00000D000000}"/>
    <hyperlink ref="P48" r:id="rId15" display="http://var.astro.cz/oejv/issues/oejv0074.pdf" xr:uid="{00000000-0004-0000-0100-00000E000000}"/>
    <hyperlink ref="P49" r:id="rId16" display="http://var.astro.cz/oejv/issues/oejv0074.pdf" xr:uid="{00000000-0004-0000-0100-00000F000000}"/>
    <hyperlink ref="P50" r:id="rId17" display="http://www.konkoly.hu/cgi-bin/IBVS?5676" xr:uid="{00000000-0004-0000-0100-000010000000}"/>
    <hyperlink ref="P51" r:id="rId18" display="http://www.konkoly.hu/cgi-bin/IBVS?5592" xr:uid="{00000000-0004-0000-0100-000011000000}"/>
    <hyperlink ref="P52" r:id="rId19" display="http://www.bav-astro.de/sfs/BAVM_link.php?BAVMnr=172" xr:uid="{00000000-0004-0000-0100-000012000000}"/>
    <hyperlink ref="P53" r:id="rId20" display="http://www.konkoly.hu/cgi-bin/IBVS?5676" xr:uid="{00000000-0004-0000-0100-000013000000}"/>
    <hyperlink ref="P63" r:id="rId21" display="http://www.konkoly.hu/cgi-bin/IBVS?5741" xr:uid="{00000000-0004-0000-0100-000014000000}"/>
    <hyperlink ref="P64" r:id="rId22" display="http://var.astro.cz/oejv/issues/oejv0003.pdf" xr:uid="{00000000-0004-0000-0100-000015000000}"/>
    <hyperlink ref="P65" r:id="rId23" display="http://var.astro.cz/oejv/issues/oejv0003.pdf" xr:uid="{00000000-0004-0000-0100-000016000000}"/>
    <hyperlink ref="P54" r:id="rId24" display="http://www.bav-astro.de/sfs/BAVM_link.php?BAVMnr=178" xr:uid="{00000000-0004-0000-0100-000017000000}"/>
    <hyperlink ref="P55" r:id="rId25" display="http://www.bav-astro.de/sfs/BAVM_link.php?BAVMnr=178" xr:uid="{00000000-0004-0000-0100-000018000000}"/>
    <hyperlink ref="P56" r:id="rId26" display="http://www.bav-astro.de/sfs/BAVM_link.php?BAVMnr=178" xr:uid="{00000000-0004-0000-0100-000019000000}"/>
    <hyperlink ref="P57" r:id="rId27" display="http://www.bav-astro.de/sfs/BAVM_link.php?BAVMnr=178" xr:uid="{00000000-0004-0000-0100-00001A000000}"/>
    <hyperlink ref="P58" r:id="rId28" display="http://www.bav-astro.de/sfs/BAVM_link.php?BAVMnr=178" xr:uid="{00000000-0004-0000-0100-00001B000000}"/>
    <hyperlink ref="P59" r:id="rId29" display="http://www.bav-astro.de/sfs/BAVM_link.php?BAVMnr=178" xr:uid="{00000000-0004-0000-0100-00001C000000}"/>
    <hyperlink ref="P60" r:id="rId30" display="http://www.bav-astro.de/sfs/BAVM_link.php?BAVMnr=178" xr:uid="{00000000-0004-0000-0100-00001D000000}"/>
    <hyperlink ref="P61" r:id="rId31" display="http://www.bav-astro.de/sfs/BAVM_link.php?BAVMnr=186" xr:uid="{00000000-0004-0000-0100-00001E000000}"/>
    <hyperlink ref="P66" r:id="rId32" display="http://www.bav-astro.de/sfs/BAVM_link.php?BAVMnr=193" xr:uid="{00000000-0004-0000-0100-00001F000000}"/>
    <hyperlink ref="P67" r:id="rId33" display="http://www.bav-astro.de/sfs/BAVM_link.php?BAVMnr=209" xr:uid="{00000000-0004-0000-0100-000020000000}"/>
    <hyperlink ref="P68" r:id="rId34" display="http://www.bav-astro.de/sfs/BAVM_link.php?BAVMnr=209" xr:uid="{00000000-0004-0000-0100-000021000000}"/>
    <hyperlink ref="P69" r:id="rId35" display="http://www.bav-astro.de/sfs/BAVM_link.php?BAVMnr=212" xr:uid="{00000000-0004-0000-0100-000022000000}"/>
    <hyperlink ref="P70" r:id="rId36" display="http://www.bav-astro.de/sfs/BAVM_link.php?BAVMnr=214" xr:uid="{00000000-0004-0000-0100-000023000000}"/>
    <hyperlink ref="P62" r:id="rId37" display="http://www.bav-astro.de/sfs/BAVM_link.php?BAVMnr=215" xr:uid="{00000000-0004-0000-0100-000024000000}"/>
    <hyperlink ref="P71" r:id="rId38" display="http://www.bav-astro.de/sfs/BAVM_link.php?BAVMnr=220" xr:uid="{00000000-0004-0000-0100-000025000000}"/>
    <hyperlink ref="P72" r:id="rId39" display="http://www.bav-astro.de/sfs/BAVM_link.php?BAVMnr=220" xr:uid="{00000000-0004-0000-0100-000026000000}"/>
    <hyperlink ref="P73" r:id="rId40" display="http://www.konkoly.hu/cgi-bin/IBVS?5992" xr:uid="{00000000-0004-0000-0100-000027000000}"/>
    <hyperlink ref="P74" r:id="rId41" display="http://www.bav-astro.de/sfs/BAVM_link.php?BAVMnr=225" xr:uid="{00000000-0004-0000-0100-000028000000}"/>
    <hyperlink ref="P75" r:id="rId42" display="http://www.bav-astro.de/sfs/BAVM_link.php?BAVMnr=225" xr:uid="{00000000-0004-0000-0100-000029000000}"/>
    <hyperlink ref="P76" r:id="rId43" display="http://www.bav-astro.de/sfs/BAVM_link.php?BAVMnr=225" xr:uid="{00000000-0004-0000-0100-00002A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4"/>
  <sheetViews>
    <sheetView workbookViewId="0"/>
  </sheetViews>
  <sheetFormatPr defaultRowHeight="12.75" x14ac:dyDescent="0.2"/>
  <cols>
    <col min="1" max="16384" width="9.140625" style="1"/>
  </cols>
  <sheetData>
    <row r="1" spans="1:19" ht="18" x14ac:dyDescent="0.25">
      <c r="A1" s="11" t="s">
        <v>47</v>
      </c>
      <c r="B1" s="3"/>
      <c r="C1" s="3"/>
      <c r="D1" s="4" t="s">
        <v>48</v>
      </c>
      <c r="E1" s="3"/>
      <c r="F1" s="3"/>
      <c r="G1" s="3"/>
      <c r="H1" s="3"/>
      <c r="I1" s="3"/>
      <c r="J1" s="3"/>
      <c r="K1" s="12" t="s">
        <v>49</v>
      </c>
      <c r="L1" s="3" t="s">
        <v>50</v>
      </c>
      <c r="M1" s="3">
        <f ca="1">F18*H18-G18*G18</f>
        <v>6716.0097847746074</v>
      </c>
      <c r="N1" s="3"/>
      <c r="O1" s="3"/>
      <c r="P1" s="3"/>
      <c r="Q1" s="3"/>
      <c r="R1" s="3">
        <v>1</v>
      </c>
      <c r="S1" s="3" t="s">
        <v>51</v>
      </c>
    </row>
    <row r="2" spans="1:19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12" t="s">
        <v>52</v>
      </c>
      <c r="L2" s="3" t="s">
        <v>53</v>
      </c>
      <c r="M2" s="3">
        <f ca="1">+D18*H18-F18*G18</f>
        <v>777.11629463211284</v>
      </c>
      <c r="N2" s="3"/>
      <c r="O2" s="3"/>
      <c r="P2" s="3"/>
      <c r="Q2" s="3"/>
      <c r="R2" s="3">
        <v>2</v>
      </c>
      <c r="S2" s="3" t="s">
        <v>54</v>
      </c>
    </row>
    <row r="3" spans="1:19" ht="13.5" thickBot="1" x14ac:dyDescent="0.25">
      <c r="A3" s="3" t="s">
        <v>55</v>
      </c>
      <c r="B3" s="3" t="s">
        <v>56</v>
      </c>
      <c r="C3" s="3"/>
      <c r="D3" s="3"/>
      <c r="E3" s="13" t="s">
        <v>57</v>
      </c>
      <c r="F3" s="13" t="s">
        <v>58</v>
      </c>
      <c r="G3" s="13" t="s">
        <v>59</v>
      </c>
      <c r="H3" s="13" t="s">
        <v>60</v>
      </c>
      <c r="I3" s="3"/>
      <c r="J3" s="3"/>
      <c r="K3" s="12" t="s">
        <v>61</v>
      </c>
      <c r="L3" s="3" t="s">
        <v>62</v>
      </c>
      <c r="M3" s="3">
        <f ca="1">+D18*G18-F18*F18</f>
        <v>-1423.6358797676949</v>
      </c>
      <c r="N3" s="3"/>
      <c r="O3" s="3"/>
      <c r="P3" s="3"/>
      <c r="Q3" s="3"/>
      <c r="R3" s="3">
        <v>3</v>
      </c>
      <c r="S3" s="3" t="s">
        <v>63</v>
      </c>
    </row>
    <row r="4" spans="1:19" x14ac:dyDescent="0.2">
      <c r="A4" s="3" t="s">
        <v>64</v>
      </c>
      <c r="B4" s="3" t="s">
        <v>65</v>
      </c>
      <c r="C4" s="3"/>
      <c r="D4" s="14" t="s">
        <v>66</v>
      </c>
      <c r="E4" s="15">
        <f ca="1">(E18*M1-I18*M2+J18*M3)/M7</f>
        <v>-1.261920777695797E-3</v>
      </c>
      <c r="F4" s="16">
        <f ca="1">+E7/M7*M18</f>
        <v>1.9966329226866562E-3</v>
      </c>
      <c r="G4" s="17">
        <f>+B18</f>
        <v>1</v>
      </c>
      <c r="H4" s="18">
        <f ca="1">ABS(F4/E4)</f>
        <v>1.582217329310011</v>
      </c>
      <c r="I4" s="3"/>
      <c r="J4" s="3"/>
      <c r="K4" s="12" t="s">
        <v>67</v>
      </c>
      <c r="L4" s="3" t="s">
        <v>68</v>
      </c>
      <c r="M4" s="3">
        <f ca="1">+D17*H18-F18*F18</f>
        <v>23297.913942142313</v>
      </c>
      <c r="N4" s="3"/>
      <c r="O4" s="3"/>
      <c r="P4" s="3"/>
      <c r="Q4" s="3"/>
      <c r="R4" s="3">
        <v>4</v>
      </c>
      <c r="S4" s="3" t="s">
        <v>69</v>
      </c>
    </row>
    <row r="5" spans="1:19" x14ac:dyDescent="0.2">
      <c r="A5" s="3" t="s">
        <v>70</v>
      </c>
      <c r="B5" s="19">
        <v>40323</v>
      </c>
      <c r="C5" s="3"/>
      <c r="D5" s="20" t="s">
        <v>71</v>
      </c>
      <c r="E5" s="21">
        <f ca="1">+(-E18*M2+I18*M4-J18*M5)/M7</f>
        <v>-8.1539512507223091E-2</v>
      </c>
      <c r="F5" s="22">
        <f ca="1">N18*E7/M7</f>
        <v>3.7187851344133919E-3</v>
      </c>
      <c r="G5" s="23">
        <f>+B18/A18</f>
        <v>1E-4</v>
      </c>
      <c r="H5" s="18">
        <f ca="1">ABS(F5/E5)</f>
        <v>4.5607154372966939E-2</v>
      </c>
      <c r="I5" s="3"/>
      <c r="J5" s="3"/>
      <c r="K5" s="12" t="s">
        <v>72</v>
      </c>
      <c r="L5" s="3" t="s">
        <v>73</v>
      </c>
      <c r="M5" s="3">
        <f ca="1">+D17*G18-D18*F18</f>
        <v>-9344.4689990231309</v>
      </c>
      <c r="N5" s="3"/>
      <c r="O5" s="3"/>
      <c r="P5" s="3"/>
      <c r="Q5" s="3"/>
      <c r="R5" s="3">
        <v>5</v>
      </c>
      <c r="S5" s="3" t="s">
        <v>74</v>
      </c>
    </row>
    <row r="6" spans="1:19" ht="13.5" thickBot="1" x14ac:dyDescent="0.25">
      <c r="A6" s="3"/>
      <c r="B6" s="3"/>
      <c r="C6" s="3"/>
      <c r="D6" s="24" t="s">
        <v>75</v>
      </c>
      <c r="E6" s="25">
        <f ca="1">+(E18*M3-I18*M5+J18*M6)/M7</f>
        <v>-1.6256146776754909E-2</v>
      </c>
      <c r="F6" s="26">
        <f ca="1">O18*E7/M7</f>
        <v>1.5712443371473062E-3</v>
      </c>
      <c r="G6" s="27">
        <f>+B18/A18^2</f>
        <v>1E-8</v>
      </c>
      <c r="H6" s="18">
        <f ca="1">ABS(F6/E6)</f>
        <v>9.665539803036656E-2</v>
      </c>
      <c r="I6" s="3"/>
      <c r="J6" s="3"/>
      <c r="K6" s="28" t="s">
        <v>76</v>
      </c>
      <c r="L6" s="29" t="s">
        <v>77</v>
      </c>
      <c r="M6" s="29">
        <f ca="1">+D17*F18-D18*D18</f>
        <v>4159.1282772450031</v>
      </c>
      <c r="N6" s="3"/>
      <c r="O6" s="3"/>
      <c r="P6" s="3"/>
      <c r="Q6" s="3"/>
      <c r="R6" s="3">
        <v>6</v>
      </c>
      <c r="S6" s="3" t="s">
        <v>78</v>
      </c>
    </row>
    <row r="7" spans="1:19" x14ac:dyDescent="0.2">
      <c r="A7" s="3"/>
      <c r="B7" s="3"/>
      <c r="C7" s="3"/>
      <c r="D7" s="4" t="s">
        <v>79</v>
      </c>
      <c r="E7" s="30">
        <f ca="1">SQRT(L18/(D17-3))</f>
        <v>1.0559375529296757E-2</v>
      </c>
      <c r="F7" s="3"/>
      <c r="G7" s="31">
        <f>+B22</f>
        <v>9.6043600005941698E-2</v>
      </c>
      <c r="H7" s="3"/>
      <c r="I7" s="3"/>
      <c r="J7" s="3"/>
      <c r="K7" s="12" t="s">
        <v>80</v>
      </c>
      <c r="L7" s="3" t="s">
        <v>81</v>
      </c>
      <c r="M7" s="3">
        <f ca="1">+D17*M1-D18*M2+F18*M3</f>
        <v>187841.40791922191</v>
      </c>
      <c r="N7" s="3"/>
      <c r="O7" s="3"/>
      <c r="P7" s="3"/>
      <c r="Q7" s="3"/>
      <c r="R7" s="3">
        <v>7</v>
      </c>
      <c r="S7" s="3" t="s">
        <v>82</v>
      </c>
    </row>
    <row r="8" spans="1:19" x14ac:dyDescent="0.2">
      <c r="A8" s="3"/>
      <c r="B8" s="3"/>
      <c r="C8" s="3"/>
      <c r="D8" s="4" t="s">
        <v>83</v>
      </c>
      <c r="E8" s="3"/>
      <c r="F8" s="32">
        <f ca="1">CORREL(INDIRECT(E12):INDIRECT(E13),INDIRECT(K12):INDIRECT(K13))</f>
        <v>0.98523173667194863</v>
      </c>
      <c r="G8" s="30"/>
      <c r="H8" s="3"/>
      <c r="I8" s="31"/>
      <c r="J8" s="3"/>
      <c r="K8" s="3"/>
      <c r="L8" s="3"/>
      <c r="M8" s="3"/>
      <c r="N8" s="3"/>
      <c r="O8" s="3"/>
      <c r="P8" s="3"/>
      <c r="Q8" s="3"/>
      <c r="R8" s="3">
        <v>8</v>
      </c>
      <c r="S8" s="3" t="s">
        <v>84</v>
      </c>
    </row>
    <row r="9" spans="1:19" x14ac:dyDescent="0.2">
      <c r="A9" s="3"/>
      <c r="B9" s="3"/>
      <c r="C9" s="3"/>
      <c r="D9" s="3"/>
      <c r="E9" s="33">
        <f ca="1">E6*G6</f>
        <v>-1.6256146776754909E-10</v>
      </c>
      <c r="F9" s="34">
        <f ca="1">H6</f>
        <v>9.665539803036656E-2</v>
      </c>
      <c r="G9" s="35">
        <f ca="1">F8</f>
        <v>0.98523173667194863</v>
      </c>
      <c r="H9" s="3"/>
      <c r="I9" s="31"/>
      <c r="J9" s="3"/>
      <c r="K9" s="3"/>
      <c r="L9" s="3"/>
      <c r="M9" s="3"/>
      <c r="N9" s="3"/>
      <c r="O9" s="3"/>
      <c r="P9" s="3"/>
      <c r="Q9" s="3"/>
      <c r="R9" s="3">
        <v>9</v>
      </c>
      <c r="S9" s="3" t="s">
        <v>32</v>
      </c>
    </row>
    <row r="10" spans="1:19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10</v>
      </c>
      <c r="S10" s="3" t="s">
        <v>85</v>
      </c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11</v>
      </c>
      <c r="S11" s="3" t="s">
        <v>86</v>
      </c>
    </row>
    <row r="12" spans="1:19" x14ac:dyDescent="0.2">
      <c r="A12" s="8">
        <v>21</v>
      </c>
      <c r="B12" s="3" t="s">
        <v>87</v>
      </c>
      <c r="C12" s="36">
        <v>21</v>
      </c>
      <c r="D12" s="5" t="str">
        <f>D$15&amp;$C12</f>
        <v>D21</v>
      </c>
      <c r="E12" s="5" t="str">
        <f t="shared" ref="E12:O12" si="0">E15&amp;$C12</f>
        <v>E21</v>
      </c>
      <c r="F12" s="5" t="str">
        <f t="shared" si="0"/>
        <v>F21</v>
      </c>
      <c r="G12" s="5" t="str">
        <f t="shared" si="0"/>
        <v>G21</v>
      </c>
      <c r="H12" s="5" t="str">
        <f t="shared" si="0"/>
        <v>H21</v>
      </c>
      <c r="I12" s="5" t="str">
        <f t="shared" si="0"/>
        <v>I21</v>
      </c>
      <c r="J12" s="5" t="str">
        <f t="shared" si="0"/>
        <v>J21</v>
      </c>
      <c r="K12" s="5" t="str">
        <f t="shared" si="0"/>
        <v>K21</v>
      </c>
      <c r="L12" s="5" t="str">
        <f t="shared" si="0"/>
        <v>L21</v>
      </c>
      <c r="M12" s="5" t="str">
        <f t="shared" si="0"/>
        <v>M21</v>
      </c>
      <c r="N12" s="5" t="str">
        <f t="shared" si="0"/>
        <v>N21</v>
      </c>
      <c r="O12" s="5" t="str">
        <f t="shared" si="0"/>
        <v>O21</v>
      </c>
      <c r="P12" s="3"/>
      <c r="Q12" s="3"/>
      <c r="R12" s="3">
        <v>12</v>
      </c>
      <c r="S12" s="3" t="s">
        <v>88</v>
      </c>
    </row>
    <row r="13" spans="1:19" x14ac:dyDescent="0.2">
      <c r="A13" s="8">
        <f>20+COUNT(A21:A1448)</f>
        <v>71</v>
      </c>
      <c r="B13" s="3" t="s">
        <v>89</v>
      </c>
      <c r="C13" s="36">
        <f>A13</f>
        <v>71</v>
      </c>
      <c r="D13" s="5" t="str">
        <f>D$15&amp;$C13</f>
        <v>D71</v>
      </c>
      <c r="E13" s="5" t="str">
        <f t="shared" ref="E13:O13" si="1">E$15&amp;$C13</f>
        <v>E71</v>
      </c>
      <c r="F13" s="5" t="str">
        <f t="shared" si="1"/>
        <v>F71</v>
      </c>
      <c r="G13" s="5" t="str">
        <f t="shared" si="1"/>
        <v>G71</v>
      </c>
      <c r="H13" s="5" t="str">
        <f t="shared" si="1"/>
        <v>H71</v>
      </c>
      <c r="I13" s="5" t="str">
        <f t="shared" si="1"/>
        <v>I71</v>
      </c>
      <c r="J13" s="5" t="str">
        <f t="shared" si="1"/>
        <v>J71</v>
      </c>
      <c r="K13" s="5" t="str">
        <f t="shared" si="1"/>
        <v>K71</v>
      </c>
      <c r="L13" s="5" t="str">
        <f t="shared" si="1"/>
        <v>L71</v>
      </c>
      <c r="M13" s="5" t="str">
        <f t="shared" si="1"/>
        <v>M71</v>
      </c>
      <c r="N13" s="5" t="str">
        <f t="shared" si="1"/>
        <v>N71</v>
      </c>
      <c r="O13" s="5" t="str">
        <f t="shared" si="1"/>
        <v>O71</v>
      </c>
      <c r="P13" s="3"/>
      <c r="Q13" s="3"/>
      <c r="R13" s="3">
        <v>13</v>
      </c>
      <c r="S13" s="3" t="s">
        <v>90</v>
      </c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>
        <v>14</v>
      </c>
      <c r="S14" s="3" t="s">
        <v>91</v>
      </c>
    </row>
    <row r="15" spans="1:19" x14ac:dyDescent="0.2">
      <c r="A15" s="5"/>
      <c r="B15" s="3"/>
      <c r="C15" s="3"/>
      <c r="D15" s="5" t="str">
        <f t="shared" ref="D15:O15" si="2">VLOOKUP(D16,$R1:$S26,2,FALSE)</f>
        <v>D</v>
      </c>
      <c r="E15" s="5" t="str">
        <f t="shared" si="2"/>
        <v>E</v>
      </c>
      <c r="F15" s="5" t="str">
        <f t="shared" si="2"/>
        <v>F</v>
      </c>
      <c r="G15" s="5" t="str">
        <f t="shared" si="2"/>
        <v>G</v>
      </c>
      <c r="H15" s="5" t="str">
        <f t="shared" si="2"/>
        <v>H</v>
      </c>
      <c r="I15" s="5" t="str">
        <f t="shared" si="2"/>
        <v>I</v>
      </c>
      <c r="J15" s="5" t="str">
        <f t="shared" si="2"/>
        <v>J</v>
      </c>
      <c r="K15" s="5" t="str">
        <f t="shared" si="2"/>
        <v>K</v>
      </c>
      <c r="L15" s="5" t="str">
        <f t="shared" si="2"/>
        <v>L</v>
      </c>
      <c r="M15" s="5" t="str">
        <f t="shared" si="2"/>
        <v>M</v>
      </c>
      <c r="N15" s="5" t="str">
        <f t="shared" si="2"/>
        <v>N</v>
      </c>
      <c r="O15" s="5" t="str">
        <f t="shared" si="2"/>
        <v>O</v>
      </c>
      <c r="P15" s="3"/>
      <c r="Q15" s="3"/>
      <c r="R15" s="3">
        <v>15</v>
      </c>
      <c r="S15" s="3" t="s">
        <v>92</v>
      </c>
    </row>
    <row r="16" spans="1:19" x14ac:dyDescent="0.2">
      <c r="A16" s="5"/>
      <c r="B16" s="3"/>
      <c r="C16" s="3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3"/>
      <c r="Q16" s="3"/>
      <c r="R16" s="3">
        <v>16</v>
      </c>
      <c r="S16" s="3" t="s">
        <v>93</v>
      </c>
    </row>
    <row r="17" spans="1:19" x14ac:dyDescent="0.2">
      <c r="A17" s="4" t="s">
        <v>94</v>
      </c>
      <c r="B17" s="3"/>
      <c r="C17" s="3" t="s">
        <v>95</v>
      </c>
      <c r="D17" s="3">
        <f>C13-C12+1</f>
        <v>51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17</v>
      </c>
      <c r="S17" s="3" t="s">
        <v>96</v>
      </c>
    </row>
    <row r="18" spans="1:19" x14ac:dyDescent="0.2">
      <c r="A18" s="37">
        <v>10000</v>
      </c>
      <c r="B18" s="37">
        <v>1</v>
      </c>
      <c r="C18" s="3" t="s">
        <v>97</v>
      </c>
      <c r="D18" s="3">
        <f ca="1">SUM(INDIRECT(D12):INDIRECT(D13))</f>
        <v>-53.614350000000002</v>
      </c>
      <c r="E18" s="3">
        <f ca="1">SUM(INDIRECT(E12):INDIRECT(E13))</f>
        <v>2.0653756951760442</v>
      </c>
      <c r="F18" s="3">
        <f ca="1">SUM(INDIRECT(F12):INDIRECT(F13))</f>
        <v>137.91425104250007</v>
      </c>
      <c r="G18" s="3">
        <f ca="1">SUM(INDIRECT(G12):INDIRECT(G13))</f>
        <v>-328.20886126281562</v>
      </c>
      <c r="H18" s="3">
        <f ca="1">SUM(INDIRECT(H12):INDIRECT(H13))</f>
        <v>829.76969770109895</v>
      </c>
      <c r="I18" s="3">
        <f ca="1">SUM(INDIRECT(I12):INDIRECT(I13))</f>
        <v>-5.8423923134366511</v>
      </c>
      <c r="J18" s="3">
        <f ca="1">SUM(INDIRECT(J12):INDIRECT(J13))</f>
        <v>13.099095692257269</v>
      </c>
      <c r="K18" s="3"/>
      <c r="L18" s="3">
        <f ca="1">SUM(INDIRECT(L12):INDIRECT(L13))</f>
        <v>5.3520197552981352E-3</v>
      </c>
      <c r="M18" s="3">
        <f ca="1">SQRT(SUM(INDIRECT(M12):INDIRECT(M13)))</f>
        <v>35518.231002843255</v>
      </c>
      <c r="N18" s="3">
        <f ca="1">SQRT(SUM(INDIRECT(N12):INDIRECT(N13)))</f>
        <v>66153.707050118202</v>
      </c>
      <c r="O18" s="3">
        <f ca="1">SQRT(SUM(INDIRECT(O12):INDIRECT(O13)))</f>
        <v>27950.966196436701</v>
      </c>
      <c r="P18" s="3"/>
      <c r="Q18" s="3"/>
      <c r="R18" s="3">
        <v>18</v>
      </c>
      <c r="S18" s="3" t="s">
        <v>98</v>
      </c>
    </row>
    <row r="19" spans="1:19" x14ac:dyDescent="0.2">
      <c r="A19" s="38" t="s">
        <v>99</v>
      </c>
      <c r="B19" s="3"/>
      <c r="C19" s="3"/>
      <c r="D19" s="39" t="s">
        <v>100</v>
      </c>
      <c r="E19" s="39" t="s">
        <v>101</v>
      </c>
      <c r="F19" s="39" t="s">
        <v>102</v>
      </c>
      <c r="G19" s="39" t="s">
        <v>103</v>
      </c>
      <c r="H19" s="39" t="s">
        <v>104</v>
      </c>
      <c r="I19" s="39" t="s">
        <v>105</v>
      </c>
      <c r="J19" s="39" t="s">
        <v>106</v>
      </c>
      <c r="K19" s="40"/>
      <c r="L19" s="40"/>
      <c r="M19" s="40"/>
      <c r="N19" s="40"/>
      <c r="O19" s="40"/>
      <c r="P19" s="3"/>
      <c r="Q19" s="3"/>
      <c r="R19" s="3">
        <v>19</v>
      </c>
      <c r="S19" s="3" t="s">
        <v>107</v>
      </c>
    </row>
    <row r="20" spans="1:19" ht="15" thickBot="1" x14ac:dyDescent="0.25">
      <c r="A20" s="41" t="s">
        <v>108</v>
      </c>
      <c r="B20" s="41" t="s">
        <v>109</v>
      </c>
      <c r="C20" s="3"/>
      <c r="D20" s="41" t="s">
        <v>108</v>
      </c>
      <c r="E20" s="41" t="s">
        <v>109</v>
      </c>
      <c r="F20" s="41" t="s">
        <v>110</v>
      </c>
      <c r="G20" s="41" t="s">
        <v>111</v>
      </c>
      <c r="H20" s="41" t="s">
        <v>112</v>
      </c>
      <c r="I20" s="41" t="s">
        <v>113</v>
      </c>
      <c r="J20" s="41" t="s">
        <v>114</v>
      </c>
      <c r="K20" s="42" t="s">
        <v>115</v>
      </c>
      <c r="L20" s="41" t="s">
        <v>116</v>
      </c>
      <c r="M20" s="41" t="s">
        <v>117</v>
      </c>
      <c r="N20" s="41" t="s">
        <v>118</v>
      </c>
      <c r="O20" s="41" t="s">
        <v>119</v>
      </c>
      <c r="P20" s="13" t="s">
        <v>120</v>
      </c>
      <c r="Q20" s="3"/>
      <c r="R20" s="3">
        <v>20</v>
      </c>
      <c r="S20" s="3" t="s">
        <v>121</v>
      </c>
    </row>
    <row r="21" spans="1:19" x14ac:dyDescent="0.2">
      <c r="A21" s="43">
        <v>-32046</v>
      </c>
      <c r="B21" s="43">
        <v>0.10323862000586814</v>
      </c>
      <c r="C21" s="3"/>
      <c r="D21" s="44">
        <f t="shared" ref="D21:E52" si="3">A21/A$18</f>
        <v>-3.2046000000000001</v>
      </c>
      <c r="E21" s="44">
        <f t="shared" si="3"/>
        <v>0.10323862000586814</v>
      </c>
      <c r="F21" s="8">
        <f>D21*D21</f>
        <v>10.269461160000001</v>
      </c>
      <c r="G21" s="8">
        <f>D21*F21</f>
        <v>-32.909515233336002</v>
      </c>
      <c r="H21" s="8">
        <f>F21*F21</f>
        <v>105.46183251674856</v>
      </c>
      <c r="I21" s="8">
        <f>E21*D21</f>
        <v>-0.33083848167080504</v>
      </c>
      <c r="J21" s="8">
        <f>I21*D21</f>
        <v>1.0602049983622619</v>
      </c>
      <c r="K21" s="8">
        <f t="shared" ref="K21:K52" ca="1" si="4">+E$4+E$5*D21+E$6*D21^2</f>
        <v>9.3097733067807581E-2</v>
      </c>
      <c r="L21" s="8">
        <f ca="1">+(K21-E21)^2</f>
        <v>1.0283758789052731E-4</v>
      </c>
      <c r="M21" s="8">
        <f t="shared" ref="M21:M83" ca="1" si="5">(M$1-M$2*D21+M$3*F21)^2</f>
        <v>29307245.89041464</v>
      </c>
      <c r="N21" s="8">
        <f t="shared" ref="N21:N83" ca="1" si="6">(-M$2+M$4*D21-M$5*F21)^2</f>
        <v>421277682.94864798</v>
      </c>
      <c r="O21" s="8">
        <f t="shared" ref="O21:O83" ca="1" si="7">+(M$3-D21*M$5+F21*M$6)^2</f>
        <v>128665578.87322526</v>
      </c>
      <c r="P21" s="3">
        <f ca="1">+E21-K21</f>
        <v>1.0140886938060562E-2</v>
      </c>
      <c r="Q21" s="3"/>
      <c r="R21" s="3">
        <v>21</v>
      </c>
      <c r="S21" s="3" t="s">
        <v>122</v>
      </c>
    </row>
    <row r="22" spans="1:19" x14ac:dyDescent="0.2">
      <c r="A22" s="43">
        <v>-31880</v>
      </c>
      <c r="B22" s="43">
        <v>9.6043600005941698E-2</v>
      </c>
      <c r="C22" s="3"/>
      <c r="D22" s="44">
        <f t="shared" si="3"/>
        <v>-3.1880000000000002</v>
      </c>
      <c r="E22" s="44">
        <f t="shared" si="3"/>
        <v>9.6043600005941698E-2</v>
      </c>
      <c r="F22" s="8">
        <f t="shared" ref="F22:F84" si="8">D22*D22</f>
        <v>10.163344</v>
      </c>
      <c r="G22" s="8">
        <f t="shared" ref="G22:G84" si="9">D22*F22</f>
        <v>-32.400740672000005</v>
      </c>
      <c r="H22" s="8">
        <f t="shared" ref="H22:H84" si="10">F22*F22</f>
        <v>103.29356126233601</v>
      </c>
      <c r="I22" s="8">
        <f t="shared" ref="I22:I84" si="11">E22*D22</f>
        <v>-0.30618699681894213</v>
      </c>
      <c r="J22" s="8">
        <f t="shared" ref="J22:J84" si="12">I22*D22</f>
        <v>0.9761241458587876</v>
      </c>
      <c r="K22" s="8">
        <f t="shared" ca="1" si="4"/>
        <v>9.3469233288680037E-2</v>
      </c>
      <c r="L22" s="8">
        <f t="shared" ref="L22:L84" ca="1" si="13">+(K22-E22)^2</f>
        <v>6.6273639949445822E-6</v>
      </c>
      <c r="M22" s="8">
        <f t="shared" ca="1" si="5"/>
        <v>27830316.199926332</v>
      </c>
      <c r="N22" s="8">
        <f t="shared" ca="1" si="6"/>
        <v>396813849.80524737</v>
      </c>
      <c r="O22" s="8">
        <f t="shared" ca="1" si="7"/>
        <v>122253895.94605374</v>
      </c>
      <c r="P22" s="3">
        <f t="shared" ref="P22:P84" ca="1" si="14">+E22-K22</f>
        <v>2.5743667172616613E-3</v>
      </c>
      <c r="Q22" s="3"/>
      <c r="R22" s="3">
        <v>22</v>
      </c>
      <c r="S22" s="3" t="s">
        <v>123</v>
      </c>
    </row>
    <row r="23" spans="1:19" x14ac:dyDescent="0.2">
      <c r="A23" s="43">
        <v>-30897</v>
      </c>
      <c r="B23" s="43">
        <v>8.297309000408859E-2</v>
      </c>
      <c r="C23" s="3"/>
      <c r="D23" s="44">
        <f t="shared" si="3"/>
        <v>-3.0897000000000001</v>
      </c>
      <c r="E23" s="44">
        <f t="shared" si="3"/>
        <v>8.297309000408859E-2</v>
      </c>
      <c r="F23" s="8">
        <f t="shared" si="8"/>
        <v>9.5462460900000004</v>
      </c>
      <c r="G23" s="8">
        <f t="shared" si="9"/>
        <v>-29.495036544273002</v>
      </c>
      <c r="H23" s="8">
        <f t="shared" si="10"/>
        <v>91.130814410840301</v>
      </c>
      <c r="I23" s="8">
        <f t="shared" si="11"/>
        <v>-0.25636195618563251</v>
      </c>
      <c r="J23" s="8">
        <f t="shared" si="12"/>
        <v>0.7920815360267488</v>
      </c>
      <c r="K23" s="8">
        <f t="shared" ca="1" si="4"/>
        <v>9.5485533409808698E-2</v>
      </c>
      <c r="L23" s="8">
        <f t="shared" ca="1" si="13"/>
        <v>1.5656123998134862E-4</v>
      </c>
      <c r="M23" s="8">
        <f t="shared" ca="1" si="5"/>
        <v>20010524.27994702</v>
      </c>
      <c r="N23" s="8">
        <f t="shared" ca="1" si="6"/>
        <v>270402493.23799014</v>
      </c>
      <c r="O23" s="8">
        <f t="shared" ca="1" si="7"/>
        <v>88525899.595931247</v>
      </c>
      <c r="P23" s="3">
        <f t="shared" ca="1" si="14"/>
        <v>-1.2512443405720108E-2</v>
      </c>
      <c r="Q23" s="3"/>
      <c r="R23" s="3">
        <v>23</v>
      </c>
      <c r="S23" s="3" t="s">
        <v>124</v>
      </c>
    </row>
    <row r="24" spans="1:19" x14ac:dyDescent="0.2">
      <c r="A24" s="43">
        <v>-25724</v>
      </c>
      <c r="B24" s="43">
        <v>0.1180282800050918</v>
      </c>
      <c r="C24" s="3"/>
      <c r="D24" s="44">
        <f t="shared" si="3"/>
        <v>-2.5724</v>
      </c>
      <c r="E24" s="44">
        <f t="shared" si="3"/>
        <v>0.1180282800050918</v>
      </c>
      <c r="F24" s="8">
        <f t="shared" si="8"/>
        <v>6.6172417599999998</v>
      </c>
      <c r="G24" s="8">
        <f t="shared" si="9"/>
        <v>-17.022192703424</v>
      </c>
      <c r="H24" s="8">
        <f t="shared" si="10"/>
        <v>43.787888510287893</v>
      </c>
      <c r="I24" s="8">
        <f t="shared" si="11"/>
        <v>-0.30361594748509813</v>
      </c>
      <c r="J24" s="8">
        <f t="shared" si="12"/>
        <v>0.78102166331066647</v>
      </c>
      <c r="K24" s="8">
        <f t="shared" ca="1" si="4"/>
        <v>0.10091946788805292</v>
      </c>
      <c r="L24" s="8">
        <f t="shared" ca="1" si="13"/>
        <v>2.9271145205613636E-4</v>
      </c>
      <c r="M24" s="8">
        <f t="shared" ca="1" si="5"/>
        <v>497700.69499339402</v>
      </c>
      <c r="N24" s="8">
        <f t="shared" ca="1" si="6"/>
        <v>1267741.7077032165</v>
      </c>
      <c r="O24" s="8">
        <f t="shared" ca="1" si="7"/>
        <v>4246111.0520884739</v>
      </c>
      <c r="P24" s="3">
        <f t="shared" ca="1" si="14"/>
        <v>1.710881211703888E-2</v>
      </c>
      <c r="Q24" s="3"/>
      <c r="R24" s="3">
        <v>24</v>
      </c>
      <c r="S24" s="3" t="s">
        <v>108</v>
      </c>
    </row>
    <row r="25" spans="1:19" x14ac:dyDescent="0.2">
      <c r="A25" s="43">
        <v>-24588</v>
      </c>
      <c r="B25" s="43">
        <v>0.10286236000683857</v>
      </c>
      <c r="C25" s="3"/>
      <c r="D25" s="44">
        <f t="shared" si="3"/>
        <v>-2.4588000000000001</v>
      </c>
      <c r="E25" s="44">
        <f t="shared" si="3"/>
        <v>0.10286236000683857</v>
      </c>
      <c r="F25" s="8">
        <f t="shared" si="8"/>
        <v>6.0456974400000005</v>
      </c>
      <c r="G25" s="8">
        <f t="shared" si="9"/>
        <v>-14.865160865472001</v>
      </c>
      <c r="H25" s="8">
        <f t="shared" si="10"/>
        <v>36.550457536022563</v>
      </c>
      <c r="I25" s="8">
        <f t="shared" si="11"/>
        <v>-0.25291797078481471</v>
      </c>
      <c r="J25" s="8">
        <f t="shared" si="12"/>
        <v>0.62187470656570243</v>
      </c>
      <c r="K25" s="8">
        <f t="shared" ca="1" si="4"/>
        <v>0.10094768762257292</v>
      </c>
      <c r="L25" s="8">
        <f t="shared" ca="1" si="13"/>
        <v>3.6659703390695213E-6</v>
      </c>
      <c r="M25" s="8">
        <f t="shared" ca="1" si="5"/>
        <v>396.46927433551826</v>
      </c>
      <c r="N25" s="8">
        <f t="shared" ca="1" si="6"/>
        <v>2459234.8994399938</v>
      </c>
      <c r="O25" s="8">
        <f t="shared" ca="1" si="7"/>
        <v>555047.23669360077</v>
      </c>
      <c r="P25" s="3">
        <f t="shared" ca="1" si="14"/>
        <v>1.9146723842656532E-3</v>
      </c>
      <c r="Q25" s="3"/>
      <c r="R25" s="3">
        <v>25</v>
      </c>
      <c r="S25" s="3" t="s">
        <v>109</v>
      </c>
    </row>
    <row r="26" spans="1:19" x14ac:dyDescent="0.2">
      <c r="A26" s="43">
        <v>-24076</v>
      </c>
      <c r="B26" s="43">
        <v>0.1144777200097451</v>
      </c>
      <c r="C26" s="3"/>
      <c r="D26" s="44">
        <f t="shared" si="3"/>
        <v>-2.4076</v>
      </c>
      <c r="E26" s="44">
        <f t="shared" si="3"/>
        <v>0.1144777200097451</v>
      </c>
      <c r="F26" s="8">
        <f t="shared" si="8"/>
        <v>5.7965377599999997</v>
      </c>
      <c r="G26" s="8">
        <f t="shared" si="9"/>
        <v>-13.955744310976</v>
      </c>
      <c r="H26" s="8">
        <f t="shared" si="10"/>
        <v>33.599850003105814</v>
      </c>
      <c r="I26" s="8">
        <f t="shared" si="11"/>
        <v>-0.27561655869546231</v>
      </c>
      <c r="J26" s="8">
        <f t="shared" si="12"/>
        <v>0.66357442671519506</v>
      </c>
      <c r="K26" s="8">
        <f t="shared" ca="1" si="4"/>
        <v>0.10082324091113241</v>
      </c>
      <c r="L26" s="8">
        <f t="shared" ca="1" si="13"/>
        <v>1.8644479945445068E-4</v>
      </c>
      <c r="M26" s="8">
        <f t="shared" ca="1" si="5"/>
        <v>112115.04119942956</v>
      </c>
      <c r="N26" s="8">
        <f t="shared" ca="1" si="6"/>
        <v>7309488.1162884692</v>
      </c>
      <c r="O26" s="8">
        <f t="shared" ca="1" si="7"/>
        <v>35030.612168429623</v>
      </c>
      <c r="P26" s="3">
        <f t="shared" ca="1" si="14"/>
        <v>1.3654479098612685E-2</v>
      </c>
      <c r="Q26" s="3"/>
      <c r="R26" s="3">
        <v>26</v>
      </c>
      <c r="S26" s="3" t="s">
        <v>125</v>
      </c>
    </row>
    <row r="27" spans="1:19" x14ac:dyDescent="0.2">
      <c r="A27" s="43">
        <v>-23701</v>
      </c>
      <c r="B27" s="43">
        <v>8.698897000431316E-2</v>
      </c>
      <c r="C27" s="3"/>
      <c r="D27" s="44">
        <f t="shared" si="3"/>
        <v>-2.3700999999999999</v>
      </c>
      <c r="E27" s="44">
        <f t="shared" si="3"/>
        <v>8.698897000431316E-2</v>
      </c>
      <c r="F27" s="8">
        <f t="shared" si="8"/>
        <v>5.6173740099999998</v>
      </c>
      <c r="G27" s="8">
        <f t="shared" si="9"/>
        <v>-13.313738141100998</v>
      </c>
      <c r="H27" s="8">
        <f t="shared" si="10"/>
        <v>31.554890768223476</v>
      </c>
      <c r="I27" s="8">
        <f t="shared" si="11"/>
        <v>-0.2061725578072226</v>
      </c>
      <c r="J27" s="8">
        <f t="shared" si="12"/>
        <v>0.48864957925889824</v>
      </c>
      <c r="K27" s="8">
        <f t="shared" ca="1" si="4"/>
        <v>0.10067802140918534</v>
      </c>
      <c r="L27" s="8">
        <f t="shared" ca="1" si="13"/>
        <v>1.8739012836523314E-4</v>
      </c>
      <c r="M27" s="8">
        <f t="shared" ca="1" si="5"/>
        <v>314449.44929698732</v>
      </c>
      <c r="N27" s="8">
        <f t="shared" ca="1" si="6"/>
        <v>12278890.870058997</v>
      </c>
      <c r="O27" s="8">
        <f t="shared" ca="1" si="7"/>
        <v>43090.604532736477</v>
      </c>
      <c r="P27" s="3">
        <f t="shared" ca="1" si="14"/>
        <v>-1.3689051404872185E-2</v>
      </c>
      <c r="Q27" s="3"/>
      <c r="R27" s="3"/>
      <c r="S27" s="3"/>
    </row>
    <row r="28" spans="1:19" x14ac:dyDescent="0.2">
      <c r="A28" s="43">
        <v>-23042</v>
      </c>
      <c r="B28" s="43">
        <v>0.11070874000142794</v>
      </c>
      <c r="C28" s="3"/>
      <c r="D28" s="44">
        <f t="shared" si="3"/>
        <v>-2.3041999999999998</v>
      </c>
      <c r="E28" s="44">
        <f t="shared" si="3"/>
        <v>0.11070874000142794</v>
      </c>
      <c r="F28" s="8">
        <f t="shared" si="8"/>
        <v>5.309337639999999</v>
      </c>
      <c r="G28" s="8">
        <f t="shared" si="9"/>
        <v>-12.233775790087996</v>
      </c>
      <c r="H28" s="8">
        <f t="shared" si="10"/>
        <v>28.189066175520757</v>
      </c>
      <c r="I28" s="8">
        <f t="shared" si="11"/>
        <v>-0.25509507871129022</v>
      </c>
      <c r="J28" s="8">
        <f t="shared" si="12"/>
        <v>0.58779008036655489</v>
      </c>
      <c r="K28" s="8">
        <f t="shared" ca="1" si="4"/>
        <v>0.10031205197825813</v>
      </c>
      <c r="L28" s="8">
        <f t="shared" ca="1" si="13"/>
        <v>1.0809112185112266E-4</v>
      </c>
      <c r="M28" s="8">
        <f t="shared" ca="1" si="5"/>
        <v>898851.11431046785</v>
      </c>
      <c r="N28" s="8">
        <f t="shared" ca="1" si="6"/>
        <v>23495625.2731204</v>
      </c>
      <c r="O28" s="8">
        <f t="shared" ca="1" si="7"/>
        <v>762033.03474491159</v>
      </c>
      <c r="P28" s="3">
        <f t="shared" ca="1" si="14"/>
        <v>1.0396688023169814E-2</v>
      </c>
      <c r="Q28" s="3"/>
      <c r="R28" s="3"/>
      <c r="S28" s="3"/>
    </row>
    <row r="29" spans="1:19" x14ac:dyDescent="0.2">
      <c r="A29" s="43">
        <v>-23013</v>
      </c>
      <c r="B29" s="43">
        <v>0.130409610006609</v>
      </c>
      <c r="C29" s="3"/>
      <c r="D29" s="44">
        <f t="shared" si="3"/>
        <v>-2.3012999999999999</v>
      </c>
      <c r="E29" s="44">
        <f t="shared" si="3"/>
        <v>0.130409610006609</v>
      </c>
      <c r="F29" s="8">
        <f t="shared" si="8"/>
        <v>5.2959816899999996</v>
      </c>
      <c r="G29" s="8">
        <f t="shared" si="9"/>
        <v>-12.187642663196998</v>
      </c>
      <c r="H29" s="8">
        <f t="shared" si="10"/>
        <v>28.047422060815251</v>
      </c>
      <c r="I29" s="8">
        <f t="shared" si="11"/>
        <v>-0.3001116355082093</v>
      </c>
      <c r="J29" s="8">
        <f t="shared" si="12"/>
        <v>0.69064690679504204</v>
      </c>
      <c r="K29" s="8">
        <f t="shared" ca="1" si="4"/>
        <v>0.10029270367553017</v>
      </c>
      <c r="L29" s="8">
        <f t="shared" ca="1" si="13"/>
        <v>9.0702804695497608E-4</v>
      </c>
      <c r="M29" s="8">
        <f t="shared" ca="1" si="5"/>
        <v>930912.29124663502</v>
      </c>
      <c r="N29" s="8">
        <f t="shared" ca="1" si="6"/>
        <v>24053815.466552082</v>
      </c>
      <c r="O29" s="8">
        <f t="shared" ca="1" si="7"/>
        <v>812513.27876390424</v>
      </c>
      <c r="P29" s="3">
        <f t="shared" ca="1" si="14"/>
        <v>3.011690633107883E-2</v>
      </c>
      <c r="Q29" s="3"/>
      <c r="R29" s="3"/>
      <c r="S29" s="3"/>
    </row>
    <row r="30" spans="1:19" x14ac:dyDescent="0.2">
      <c r="A30" s="43">
        <v>-23007</v>
      </c>
      <c r="B30" s="43">
        <v>9.1209790007269476E-2</v>
      </c>
      <c r="C30" s="3"/>
      <c r="D30" s="44">
        <f t="shared" si="3"/>
        <v>-2.3007</v>
      </c>
      <c r="E30" s="44">
        <f t="shared" si="3"/>
        <v>9.1209790007269476E-2</v>
      </c>
      <c r="F30" s="8">
        <f t="shared" si="8"/>
        <v>5.2932204899999995</v>
      </c>
      <c r="G30" s="8">
        <f t="shared" si="9"/>
        <v>-12.178112381342999</v>
      </c>
      <c r="H30" s="8">
        <f t="shared" si="10"/>
        <v>28.018183155755835</v>
      </c>
      <c r="I30" s="8">
        <f t="shared" si="11"/>
        <v>-0.20984636386972488</v>
      </c>
      <c r="J30" s="8">
        <f t="shared" si="12"/>
        <v>0.48279352935507602</v>
      </c>
      <c r="K30" s="8">
        <f t="shared" ca="1" si="4"/>
        <v>0.10028866644050584</v>
      </c>
      <c r="L30" s="8">
        <f t="shared" ca="1" si="13"/>
        <v>8.2425997289974626E-5</v>
      </c>
      <c r="M30" s="8">
        <f t="shared" ca="1" si="5"/>
        <v>937609.99246218719</v>
      </c>
      <c r="N30" s="8">
        <f t="shared" ca="1" si="6"/>
        <v>24169928.283114258</v>
      </c>
      <c r="O30" s="8">
        <f t="shared" ca="1" si="7"/>
        <v>823143.73069661064</v>
      </c>
      <c r="P30" s="3">
        <f t="shared" ca="1" si="14"/>
        <v>-9.0788764332363631E-3</v>
      </c>
      <c r="Q30" s="3"/>
      <c r="R30" s="3"/>
      <c r="S30" s="3"/>
    </row>
    <row r="31" spans="1:19" x14ac:dyDescent="0.2">
      <c r="A31" s="43">
        <v>-23007</v>
      </c>
      <c r="B31" s="43">
        <v>9.8209790005057584E-2</v>
      </c>
      <c r="C31" s="3"/>
      <c r="D31" s="44">
        <f t="shared" si="3"/>
        <v>-2.3007</v>
      </c>
      <c r="E31" s="44">
        <f t="shared" si="3"/>
        <v>9.8209790005057584E-2</v>
      </c>
      <c r="F31" s="8">
        <f t="shared" si="8"/>
        <v>5.2932204899999995</v>
      </c>
      <c r="G31" s="8">
        <f t="shared" si="9"/>
        <v>-12.178112381342999</v>
      </c>
      <c r="H31" s="8">
        <f t="shared" si="10"/>
        <v>28.018183155755835</v>
      </c>
      <c r="I31" s="8">
        <f t="shared" si="11"/>
        <v>-0.22595126386463599</v>
      </c>
      <c r="J31" s="8">
        <f t="shared" si="12"/>
        <v>0.51984607277336803</v>
      </c>
      <c r="K31" s="8">
        <f t="shared" ca="1" si="4"/>
        <v>0.10028866644050584</v>
      </c>
      <c r="L31" s="8">
        <f t="shared" ca="1" si="13"/>
        <v>4.3217272338620395E-6</v>
      </c>
      <c r="M31" s="8">
        <f t="shared" ca="1" si="5"/>
        <v>937609.99246218719</v>
      </c>
      <c r="N31" s="8">
        <f t="shared" ca="1" si="6"/>
        <v>24169928.283114258</v>
      </c>
      <c r="O31" s="8">
        <f t="shared" ca="1" si="7"/>
        <v>823143.73069661064</v>
      </c>
      <c r="P31" s="3">
        <f t="shared" ca="1" si="14"/>
        <v>-2.0788764354482542E-3</v>
      </c>
      <c r="Q31" s="3"/>
      <c r="R31" s="3"/>
      <c r="S31" s="3"/>
    </row>
    <row r="32" spans="1:19" x14ac:dyDescent="0.2">
      <c r="A32" s="43">
        <v>-23004</v>
      </c>
      <c r="B32" s="43">
        <v>8.9109880005707964E-2</v>
      </c>
      <c r="C32" s="3"/>
      <c r="D32" s="44">
        <f t="shared" si="3"/>
        <v>-2.3003999999999998</v>
      </c>
      <c r="E32" s="44">
        <f t="shared" si="3"/>
        <v>8.9109880005707964E-2</v>
      </c>
      <c r="F32" s="8">
        <f t="shared" si="8"/>
        <v>5.2918401599999987</v>
      </c>
      <c r="G32" s="8">
        <f t="shared" si="9"/>
        <v>-12.173349104063997</v>
      </c>
      <c r="H32" s="8">
        <f t="shared" si="10"/>
        <v>28.003572278988813</v>
      </c>
      <c r="I32" s="8">
        <f t="shared" si="11"/>
        <v>-0.20498836796513059</v>
      </c>
      <c r="J32" s="8">
        <f t="shared" si="12"/>
        <v>0.47155524166698637</v>
      </c>
      <c r="K32" s="8">
        <f t="shared" ca="1" si="4"/>
        <v>0.10028664343383402</v>
      </c>
      <c r="L32" s="8">
        <f t="shared" ca="1" si="13"/>
        <v>1.2492004072829608E-4</v>
      </c>
      <c r="M32" s="8">
        <f t="shared" ca="1" si="5"/>
        <v>940967.10031519667</v>
      </c>
      <c r="N32" s="8">
        <f t="shared" ca="1" si="6"/>
        <v>24228064.694930114</v>
      </c>
      <c r="O32" s="8">
        <f t="shared" ca="1" si="7"/>
        <v>828482.82118013641</v>
      </c>
      <c r="P32" s="3">
        <f t="shared" ca="1" si="14"/>
        <v>-1.1176763428126055E-2</v>
      </c>
      <c r="Q32" s="3"/>
      <c r="R32" s="3"/>
      <c r="S32" s="3"/>
    </row>
    <row r="33" spans="1:19" x14ac:dyDescent="0.2">
      <c r="A33" s="43">
        <v>-22991</v>
      </c>
      <c r="B33" s="43">
        <v>0.11501027000485919</v>
      </c>
      <c r="C33" s="3"/>
      <c r="D33" s="44">
        <f t="shared" si="3"/>
        <v>-2.2991000000000001</v>
      </c>
      <c r="E33" s="44">
        <f t="shared" si="3"/>
        <v>0.11501027000485919</v>
      </c>
      <c r="F33" s="8">
        <f t="shared" si="8"/>
        <v>5.2858608100000009</v>
      </c>
      <c r="G33" s="8">
        <f t="shared" si="9"/>
        <v>-12.152722588271002</v>
      </c>
      <c r="H33" s="8">
        <f t="shared" si="10"/>
        <v>27.940324502693866</v>
      </c>
      <c r="I33" s="8">
        <f t="shared" si="11"/>
        <v>-0.26442011176817182</v>
      </c>
      <c r="J33" s="8">
        <f t="shared" si="12"/>
        <v>0.60792827896620383</v>
      </c>
      <c r="K33" s="8">
        <f t="shared" ca="1" si="4"/>
        <v>0.10027784325880423</v>
      </c>
      <c r="L33" s="8">
        <f t="shared" ca="1" si="13"/>
        <v>2.1704439782787555E-4</v>
      </c>
      <c r="M33" s="8">
        <f t="shared" ca="1" si="5"/>
        <v>955578.10383600788</v>
      </c>
      <c r="N33" s="8">
        <f t="shared" ca="1" si="6"/>
        <v>24480603.785446212</v>
      </c>
      <c r="O33" s="8">
        <f t="shared" ca="1" si="7"/>
        <v>851802.35243707267</v>
      </c>
      <c r="P33" s="3">
        <f t="shared" ca="1" si="14"/>
        <v>1.4732426746054961E-2</v>
      </c>
      <c r="Q33" s="3"/>
      <c r="R33" s="3"/>
      <c r="S33" s="3"/>
    </row>
    <row r="34" spans="1:19" x14ac:dyDescent="0.2">
      <c r="A34" s="43">
        <v>-22953</v>
      </c>
      <c r="B34" s="43">
        <v>8.8411410004482605E-2</v>
      </c>
      <c r="C34" s="3"/>
      <c r="D34" s="44">
        <f t="shared" si="3"/>
        <v>-2.2953000000000001</v>
      </c>
      <c r="E34" s="44">
        <f t="shared" si="3"/>
        <v>8.8411410004482605E-2</v>
      </c>
      <c r="F34" s="8">
        <f t="shared" si="8"/>
        <v>5.2684020900000004</v>
      </c>
      <c r="G34" s="8">
        <f t="shared" si="9"/>
        <v>-12.092563317177001</v>
      </c>
      <c r="H34" s="8">
        <f t="shared" si="10"/>
        <v>27.756060581916373</v>
      </c>
      <c r="I34" s="8">
        <f t="shared" si="11"/>
        <v>-0.20293070938328894</v>
      </c>
      <c r="J34" s="8">
        <f t="shared" si="12"/>
        <v>0.46578685724746316</v>
      </c>
      <c r="K34" s="8">
        <f t="shared" ca="1" si="4"/>
        <v>0.10025180462613104</v>
      </c>
      <c r="L34" s="8">
        <f t="shared" ca="1" si="13"/>
        <v>1.4019494479636111E-4</v>
      </c>
      <c r="M34" s="8">
        <f t="shared" ca="1" si="5"/>
        <v>998877.45815515309</v>
      </c>
      <c r="N34" s="8">
        <f t="shared" ca="1" si="6"/>
        <v>25224483.294021662</v>
      </c>
      <c r="O34" s="8">
        <f t="shared" ca="1" si="7"/>
        <v>921668.09369259677</v>
      </c>
      <c r="P34" s="3">
        <f t="shared" ca="1" si="14"/>
        <v>-1.1840394621648431E-2</v>
      </c>
      <c r="Q34" s="3"/>
      <c r="R34" s="3"/>
      <c r="S34" s="3"/>
    </row>
    <row r="35" spans="1:19" x14ac:dyDescent="0.2">
      <c r="A35" s="43">
        <v>-22402</v>
      </c>
      <c r="B35" s="43">
        <v>9.2727940005715936E-2</v>
      </c>
      <c r="C35" s="3"/>
      <c r="D35" s="44">
        <f t="shared" si="3"/>
        <v>-2.2402000000000002</v>
      </c>
      <c r="E35" s="44">
        <f t="shared" si="3"/>
        <v>9.2727940005715936E-2</v>
      </c>
      <c r="F35" s="8">
        <f t="shared" si="8"/>
        <v>5.0184960400000005</v>
      </c>
      <c r="G35" s="8">
        <f t="shared" si="9"/>
        <v>-11.242434828808003</v>
      </c>
      <c r="H35" s="8">
        <f t="shared" si="10"/>
        <v>25.185302503495688</v>
      </c>
      <c r="I35" s="8">
        <f t="shared" si="11"/>
        <v>-0.20772913120080486</v>
      </c>
      <c r="J35" s="8">
        <f t="shared" si="12"/>
        <v>0.4653547997160431</v>
      </c>
      <c r="K35" s="8">
        <f t="shared" ca="1" si="4"/>
        <v>9.9821486916182117E-2</v>
      </c>
      <c r="L35" s="8">
        <f t="shared" ca="1" si="13"/>
        <v>5.0318407770984298E-5</v>
      </c>
      <c r="M35" s="8">
        <f t="shared" ca="1" si="5"/>
        <v>1722379.803949276</v>
      </c>
      <c r="N35" s="8">
        <f t="shared" ca="1" si="6"/>
        <v>36892533.811010383</v>
      </c>
      <c r="O35" s="8">
        <f t="shared" ca="1" si="7"/>
        <v>2203878.4358785362</v>
      </c>
      <c r="P35" s="3">
        <f t="shared" ca="1" si="14"/>
        <v>-7.0935469104661808E-3</v>
      </c>
      <c r="Q35" s="3"/>
      <c r="R35" s="3"/>
      <c r="S35" s="3"/>
    </row>
    <row r="36" spans="1:19" x14ac:dyDescent="0.2">
      <c r="A36" s="43">
        <v>-22177</v>
      </c>
      <c r="B36" s="43">
        <v>8.0234690009092446E-2</v>
      </c>
      <c r="C36" s="3"/>
      <c r="D36" s="44">
        <f t="shared" si="3"/>
        <v>-2.2176999999999998</v>
      </c>
      <c r="E36" s="44">
        <f t="shared" si="3"/>
        <v>8.0234690009092446E-2</v>
      </c>
      <c r="F36" s="8">
        <f t="shared" si="8"/>
        <v>4.9181932899999987</v>
      </c>
      <c r="G36" s="8">
        <f t="shared" si="9"/>
        <v>-10.907077259232995</v>
      </c>
      <c r="H36" s="8">
        <f t="shared" si="10"/>
        <v>24.188625237801013</v>
      </c>
      <c r="I36" s="8">
        <f t="shared" si="11"/>
        <v>-0.17793647203316429</v>
      </c>
      <c r="J36" s="8">
        <f t="shared" si="12"/>
        <v>0.39460971402794842</v>
      </c>
      <c r="K36" s="8">
        <f t="shared" ca="1" si="4"/>
        <v>9.9617384110881724E-2</v>
      </c>
      <c r="L36" s="8">
        <f t="shared" ca="1" si="13"/>
        <v>3.7568883064353686E-4</v>
      </c>
      <c r="M36" s="8">
        <f t="shared" ca="1" si="5"/>
        <v>2066993.2519789727</v>
      </c>
      <c r="N36" s="8">
        <f t="shared" ca="1" si="6"/>
        <v>42081108.210507743</v>
      </c>
      <c r="O36" s="8">
        <f t="shared" ca="1" si="7"/>
        <v>2861063.9730540733</v>
      </c>
      <c r="P36" s="3">
        <f t="shared" ca="1" si="14"/>
        <v>-1.9382694101789277E-2</v>
      </c>
      <c r="Q36" s="3"/>
      <c r="R36" s="3"/>
      <c r="S36" s="3"/>
    </row>
    <row r="37" spans="1:19" x14ac:dyDescent="0.2">
      <c r="A37" s="43">
        <v>-22005</v>
      </c>
      <c r="B37" s="43">
        <v>7.4839849999989383E-2</v>
      </c>
      <c r="C37" s="3"/>
      <c r="D37" s="44">
        <f t="shared" si="3"/>
        <v>-2.2004999999999999</v>
      </c>
      <c r="E37" s="44">
        <f t="shared" si="3"/>
        <v>7.4839849999989383E-2</v>
      </c>
      <c r="F37" s="8">
        <f t="shared" si="8"/>
        <v>4.8422002499999994</v>
      </c>
      <c r="G37" s="8">
        <f t="shared" si="9"/>
        <v>-10.655261650124999</v>
      </c>
      <c r="H37" s="8">
        <f t="shared" si="10"/>
        <v>23.446903261100058</v>
      </c>
      <c r="I37" s="8">
        <f t="shared" si="11"/>
        <v>-0.16468508992497663</v>
      </c>
      <c r="J37" s="8">
        <f t="shared" si="12"/>
        <v>0.36238954037991106</v>
      </c>
      <c r="K37" s="8">
        <f t="shared" ca="1" si="4"/>
        <v>9.9450258508009315E-2</v>
      </c>
      <c r="L37" s="8">
        <f t="shared" ca="1" si="13"/>
        <v>6.0567220693161987E-4</v>
      </c>
      <c r="M37" s="8">
        <f t="shared" ca="1" si="5"/>
        <v>2348630.3567445045</v>
      </c>
      <c r="N37" s="8">
        <f t="shared" ca="1" si="6"/>
        <v>46190859.957790941</v>
      </c>
      <c r="O37" s="8">
        <f t="shared" ca="1" si="7"/>
        <v>3410699.5238850052</v>
      </c>
      <c r="P37" s="3">
        <f t="shared" ca="1" si="14"/>
        <v>-2.4610408508019932E-2</v>
      </c>
      <c r="Q37" s="3"/>
      <c r="R37" s="3"/>
      <c r="S37" s="3"/>
    </row>
    <row r="38" spans="1:19" x14ac:dyDescent="0.2">
      <c r="A38" s="43">
        <v>-21916</v>
      </c>
      <c r="B38" s="43">
        <v>8.2542520001879893E-2</v>
      </c>
      <c r="C38" s="3"/>
      <c r="D38" s="44">
        <f t="shared" si="3"/>
        <v>-2.1916000000000002</v>
      </c>
      <c r="E38" s="44">
        <f t="shared" si="3"/>
        <v>8.2542520001879893E-2</v>
      </c>
      <c r="F38" s="8">
        <f t="shared" si="8"/>
        <v>4.8031105600000013</v>
      </c>
      <c r="G38" s="8">
        <f t="shared" si="9"/>
        <v>-10.526497103296004</v>
      </c>
      <c r="H38" s="8">
        <f t="shared" si="10"/>
        <v>23.069871051583526</v>
      </c>
      <c r="I38" s="8">
        <f t="shared" si="11"/>
        <v>-0.18090018683612</v>
      </c>
      <c r="J38" s="8">
        <f t="shared" si="12"/>
        <v>0.39646084947004062</v>
      </c>
      <c r="K38" s="8">
        <f t="shared" ca="1" si="4"/>
        <v>9.9360004584792855E-2</v>
      </c>
      <c r="L38" s="8">
        <f t="shared" ca="1" si="13"/>
        <v>2.8282778769651515E-4</v>
      </c>
      <c r="M38" s="8">
        <f t="shared" ca="1" si="5"/>
        <v>2500374.7385657011</v>
      </c>
      <c r="N38" s="8">
        <f t="shared" ca="1" si="6"/>
        <v>48362382.559896171</v>
      </c>
      <c r="O38" s="8">
        <f t="shared" ca="1" si="7"/>
        <v>3710328.0697103697</v>
      </c>
      <c r="P38" s="3">
        <f t="shared" ca="1" si="14"/>
        <v>-1.6817484582912962E-2</v>
      </c>
      <c r="Q38" s="3"/>
      <c r="R38" s="3"/>
      <c r="S38" s="3"/>
    </row>
    <row r="39" spans="1:19" x14ac:dyDescent="0.2">
      <c r="A39" s="43">
        <v>-19822</v>
      </c>
      <c r="B39" s="43">
        <v>0.10180533999664476</v>
      </c>
      <c r="C39" s="3"/>
      <c r="D39" s="44">
        <f t="shared" si="3"/>
        <v>-1.9822</v>
      </c>
      <c r="E39" s="44">
        <f t="shared" si="3"/>
        <v>0.10180533999664476</v>
      </c>
      <c r="F39" s="8">
        <f t="shared" si="8"/>
        <v>3.9291168399999998</v>
      </c>
      <c r="G39" s="8">
        <f t="shared" si="9"/>
        <v>-7.7882954002479998</v>
      </c>
      <c r="H39" s="8">
        <f t="shared" si="10"/>
        <v>15.437959142371584</v>
      </c>
      <c r="I39" s="8">
        <f t="shared" si="11"/>
        <v>-0.20179854494134924</v>
      </c>
      <c r="J39" s="8">
        <f t="shared" si="12"/>
        <v>0.40000507578274247</v>
      </c>
      <c r="K39" s="8">
        <f t="shared" ca="1" si="4"/>
        <v>9.6493400860062375E-2</v>
      </c>
      <c r="L39" s="8">
        <f t="shared" ca="1" si="13"/>
        <v>2.8216697390755623E-5</v>
      </c>
      <c r="M39" s="8">
        <f t="shared" ca="1" si="5"/>
        <v>7090386.6494362196</v>
      </c>
      <c r="N39" s="8">
        <f t="shared" ca="1" si="6"/>
        <v>104913534.36063503</v>
      </c>
      <c r="O39" s="8">
        <f t="shared" ca="1" si="7"/>
        <v>12992718.529766321</v>
      </c>
      <c r="P39" s="3">
        <f t="shared" ca="1" si="14"/>
        <v>5.3119391365823859E-3</v>
      </c>
      <c r="Q39" s="3"/>
      <c r="R39" s="3"/>
      <c r="S39" s="3"/>
    </row>
    <row r="40" spans="1:19" x14ac:dyDescent="0.2">
      <c r="A40" s="43">
        <v>-19819</v>
      </c>
      <c r="B40" s="43">
        <v>9.7705430001951754E-2</v>
      </c>
      <c r="C40" s="3"/>
      <c r="D40" s="44">
        <f t="shared" si="3"/>
        <v>-1.9819</v>
      </c>
      <c r="E40" s="44">
        <f t="shared" si="3"/>
        <v>9.7705430001951754E-2</v>
      </c>
      <c r="F40" s="8">
        <f t="shared" si="8"/>
        <v>3.9279276099999998</v>
      </c>
      <c r="G40" s="8">
        <f t="shared" si="9"/>
        <v>-7.7847597302589993</v>
      </c>
      <c r="H40" s="8">
        <f t="shared" si="10"/>
        <v>15.42861530940031</v>
      </c>
      <c r="I40" s="8">
        <f t="shared" si="11"/>
        <v>-0.19364239172086817</v>
      </c>
      <c r="J40" s="8">
        <f t="shared" si="12"/>
        <v>0.38377985615158861</v>
      </c>
      <c r="K40" s="8">
        <f t="shared" ca="1" si="4"/>
        <v>9.6488271303741532E-2</v>
      </c>
      <c r="L40" s="8">
        <f t="shared" ca="1" si="13"/>
        <v>1.4814752966288016E-6</v>
      </c>
      <c r="M40" s="8">
        <f t="shared" ca="1" si="5"/>
        <v>7098163.5365355322</v>
      </c>
      <c r="N40" s="8">
        <f t="shared" ca="1" si="6"/>
        <v>104998020.06383869</v>
      </c>
      <c r="O40" s="8">
        <f t="shared" ca="1" si="7"/>
        <v>13008170.883972241</v>
      </c>
      <c r="P40" s="3">
        <f t="shared" ca="1" si="14"/>
        <v>1.2171586982102217E-3</v>
      </c>
      <c r="Q40" s="3"/>
      <c r="R40" s="3"/>
      <c r="S40" s="3"/>
    </row>
    <row r="41" spans="1:19" x14ac:dyDescent="0.2">
      <c r="A41" s="43">
        <v>-19809</v>
      </c>
      <c r="B41" s="43">
        <v>0.12070573000528384</v>
      </c>
      <c r="C41" s="3"/>
      <c r="D41" s="44">
        <f t="shared" si="3"/>
        <v>-1.9809000000000001</v>
      </c>
      <c r="E41" s="44">
        <f t="shared" si="3"/>
        <v>0.12070573000528384</v>
      </c>
      <c r="F41" s="8">
        <f t="shared" si="8"/>
        <v>3.9239648100000006</v>
      </c>
      <c r="G41" s="8">
        <f t="shared" si="9"/>
        <v>-7.7729818921290015</v>
      </c>
      <c r="H41" s="8">
        <f t="shared" si="10"/>
        <v>15.397499830118342</v>
      </c>
      <c r="I41" s="8">
        <f t="shared" si="11"/>
        <v>-0.23910598056746676</v>
      </c>
      <c r="J41" s="8">
        <f t="shared" si="12"/>
        <v>0.47364503690609494</v>
      </c>
      <c r="K41" s="8">
        <f t="shared" ca="1" si="4"/>
        <v>9.647115164968123E-2</v>
      </c>
      <c r="L41" s="8">
        <f t="shared" ca="1" si="13"/>
        <v>5.8731478807384253E-4</v>
      </c>
      <c r="M41" s="8">
        <f t="shared" ca="1" si="5"/>
        <v>7124107.3993470417</v>
      </c>
      <c r="N41" s="8">
        <f t="shared" ca="1" si="6"/>
        <v>105279635.37157349</v>
      </c>
      <c r="O41" s="8">
        <f t="shared" ca="1" si="7"/>
        <v>13059705.976588672</v>
      </c>
      <c r="P41" s="3">
        <f t="shared" ca="1" si="14"/>
        <v>2.423457835560261E-2</v>
      </c>
      <c r="Q41" s="3"/>
      <c r="R41" s="3"/>
      <c r="S41" s="3"/>
    </row>
    <row r="42" spans="1:19" x14ac:dyDescent="0.2">
      <c r="A42" s="43">
        <v>-19768</v>
      </c>
      <c r="B42" s="43">
        <v>0.10500696000235621</v>
      </c>
      <c r="C42" s="3"/>
      <c r="D42" s="44">
        <f t="shared" si="3"/>
        <v>-1.9767999999999999</v>
      </c>
      <c r="E42" s="44">
        <f t="shared" si="3"/>
        <v>0.10500696000235621</v>
      </c>
      <c r="F42" s="8">
        <f t="shared" si="8"/>
        <v>3.9077382399999996</v>
      </c>
      <c r="G42" s="8">
        <f t="shared" si="9"/>
        <v>-7.7248169528319988</v>
      </c>
      <c r="H42" s="8">
        <f t="shared" si="10"/>
        <v>15.270418152358294</v>
      </c>
      <c r="I42" s="8">
        <f t="shared" si="11"/>
        <v>-0.20757775853265775</v>
      </c>
      <c r="J42" s="8">
        <f t="shared" si="12"/>
        <v>0.41033971306735784</v>
      </c>
      <c r="K42" s="8">
        <f t="shared" ca="1" si="4"/>
        <v>9.6400621152004914E-2</v>
      </c>
      <c r="L42" s="8">
        <f t="shared" ca="1" si="13"/>
        <v>7.4069068407066034E-5</v>
      </c>
      <c r="M42" s="8">
        <f t="shared" ca="1" si="5"/>
        <v>7230811.9358074907</v>
      </c>
      <c r="N42" s="8">
        <f t="shared" ca="1" si="6"/>
        <v>106434169.63172987</v>
      </c>
      <c r="O42" s="8">
        <f t="shared" ca="1" si="7"/>
        <v>13271431.389605414</v>
      </c>
      <c r="P42" s="3">
        <f t="shared" ca="1" si="14"/>
        <v>8.6063388503512944E-3</v>
      </c>
      <c r="Q42" s="3"/>
      <c r="R42" s="3"/>
      <c r="S42" s="3"/>
    </row>
    <row r="43" spans="1:19" x14ac:dyDescent="0.2">
      <c r="A43" s="43">
        <v>-19765</v>
      </c>
      <c r="B43" s="43">
        <v>7.6907050002773758E-2</v>
      </c>
      <c r="C43" s="3"/>
      <c r="D43" s="44">
        <f t="shared" si="3"/>
        <v>-1.9764999999999999</v>
      </c>
      <c r="E43" s="44">
        <f t="shared" si="3"/>
        <v>7.6907050002773758E-2</v>
      </c>
      <c r="F43" s="8">
        <f t="shared" si="8"/>
        <v>3.9065522499999998</v>
      </c>
      <c r="G43" s="8">
        <f t="shared" si="9"/>
        <v>-7.7213005221249995</v>
      </c>
      <c r="H43" s="8">
        <f t="shared" si="10"/>
        <v>15.261150481980062</v>
      </c>
      <c r="I43" s="8">
        <f t="shared" si="11"/>
        <v>-0.15200678433048231</v>
      </c>
      <c r="J43" s="8">
        <f t="shared" si="12"/>
        <v>0.30044140922919826</v>
      </c>
      <c r="K43" s="8">
        <f t="shared" ca="1" si="4"/>
        <v>9.639543892576849E-2</v>
      </c>
      <c r="L43" s="8">
        <f t="shared" ca="1" si="13"/>
        <v>3.7979730281390375E-4</v>
      </c>
      <c r="M43" s="8">
        <f t="shared" ca="1" si="5"/>
        <v>7238640.6149984766</v>
      </c>
      <c r="N43" s="8">
        <f t="shared" ca="1" si="6"/>
        <v>106518640.33798961</v>
      </c>
      <c r="O43" s="8">
        <f t="shared" ca="1" si="7"/>
        <v>13286950.312677942</v>
      </c>
      <c r="P43" s="3">
        <f t="shared" ca="1" si="14"/>
        <v>-1.9488388922994732E-2</v>
      </c>
      <c r="Q43" s="3"/>
      <c r="R43" s="3"/>
      <c r="S43" s="3"/>
    </row>
    <row r="44" spans="1:19" x14ac:dyDescent="0.2">
      <c r="A44" s="43">
        <v>-19688</v>
      </c>
      <c r="B44" s="43">
        <v>9.8009360001015011E-2</v>
      </c>
      <c r="C44" s="3"/>
      <c r="D44" s="44">
        <f t="shared" si="3"/>
        <v>-1.9688000000000001</v>
      </c>
      <c r="E44" s="44">
        <f t="shared" si="3"/>
        <v>9.8009360001015011E-2</v>
      </c>
      <c r="F44" s="8">
        <f t="shared" si="8"/>
        <v>3.8761734400000005</v>
      </c>
      <c r="G44" s="8">
        <f t="shared" si="9"/>
        <v>-7.6314102686720018</v>
      </c>
      <c r="H44" s="8">
        <f t="shared" si="10"/>
        <v>15.024720536961437</v>
      </c>
      <c r="I44" s="8">
        <f t="shared" si="11"/>
        <v>-0.19296082796999836</v>
      </c>
      <c r="J44" s="8">
        <f t="shared" si="12"/>
        <v>0.37990127810733282</v>
      </c>
      <c r="K44" s="8">
        <f t="shared" ca="1" si="4"/>
        <v>9.6261427073726036E-2</v>
      </c>
      <c r="L44" s="8">
        <f t="shared" ca="1" si="13"/>
        <v>3.0552695183010067E-6</v>
      </c>
      <c r="M44" s="8">
        <f t="shared" ca="1" si="5"/>
        <v>7440547.8332722951</v>
      </c>
      <c r="N44" s="8">
        <f t="shared" ca="1" si="6"/>
        <v>108686186.1623943</v>
      </c>
      <c r="O44" s="8">
        <f t="shared" ca="1" si="7"/>
        <v>13686476.962621722</v>
      </c>
      <c r="P44" s="3">
        <f t="shared" ca="1" si="14"/>
        <v>1.7479329272889754E-3</v>
      </c>
      <c r="Q44" s="3"/>
      <c r="R44" s="3"/>
      <c r="S44" s="3"/>
    </row>
    <row r="45" spans="1:19" x14ac:dyDescent="0.2">
      <c r="A45" s="43">
        <v>-3982.5</v>
      </c>
      <c r="B45" s="43">
        <v>1.8130525000742637E-2</v>
      </c>
      <c r="C45" s="3"/>
      <c r="D45" s="44">
        <f t="shared" si="3"/>
        <v>-0.39824999999999999</v>
      </c>
      <c r="E45" s="44">
        <f t="shared" si="3"/>
        <v>1.8130525000742637E-2</v>
      </c>
      <c r="F45" s="8">
        <f t="shared" si="8"/>
        <v>0.1586030625</v>
      </c>
      <c r="G45" s="8">
        <f t="shared" si="9"/>
        <v>-6.3163669640625003E-2</v>
      </c>
      <c r="H45" s="8">
        <f t="shared" si="10"/>
        <v>2.5154931434378906E-2</v>
      </c>
      <c r="I45" s="8">
        <f t="shared" si="11"/>
        <v>-7.2204815815457551E-3</v>
      </c>
      <c r="J45" s="8">
        <f t="shared" si="12"/>
        <v>2.8755567898505969E-3</v>
      </c>
      <c r="K45" s="8">
        <f t="shared" ca="1" si="4"/>
        <v>2.8632915415062965E-2</v>
      </c>
      <c r="L45" s="8">
        <f t="shared" ca="1" si="13"/>
        <v>1.1030020441480752E-4</v>
      </c>
      <c r="M45" s="8">
        <f t="shared" ca="1" si="5"/>
        <v>46235965.494270921</v>
      </c>
      <c r="N45" s="8">
        <f t="shared" ca="1" si="6"/>
        <v>73504029.837387249</v>
      </c>
      <c r="O45" s="8">
        <f t="shared" ca="1" si="7"/>
        <v>20118994.159997739</v>
      </c>
      <c r="P45" s="3">
        <f t="shared" ca="1" si="14"/>
        <v>-1.0502390414320328E-2</v>
      </c>
      <c r="Q45" s="3"/>
      <c r="R45" s="3"/>
      <c r="S45" s="3"/>
    </row>
    <row r="46" spans="1:19" x14ac:dyDescent="0.2">
      <c r="A46" s="43">
        <v>-3981</v>
      </c>
      <c r="B46" s="43">
        <v>3.0580570004531182E-2</v>
      </c>
      <c r="C46" s="3"/>
      <c r="D46" s="44">
        <f t="shared" si="3"/>
        <v>-0.39810000000000001</v>
      </c>
      <c r="E46" s="44">
        <f t="shared" si="3"/>
        <v>3.0580570004531182E-2</v>
      </c>
      <c r="F46" s="8">
        <f t="shared" si="8"/>
        <v>0.15848361</v>
      </c>
      <c r="G46" s="8">
        <f t="shared" si="9"/>
        <v>-6.3092325140999994E-2</v>
      </c>
      <c r="H46" s="8">
        <f t="shared" si="10"/>
        <v>2.5117054638632098E-2</v>
      </c>
      <c r="I46" s="8">
        <f t="shared" si="11"/>
        <v>-1.2174124918803864E-2</v>
      </c>
      <c r="J46" s="8">
        <f t="shared" si="12"/>
        <v>4.8465191301758186E-3</v>
      </c>
      <c r="K46" s="8">
        <f t="shared" ca="1" si="4"/>
        <v>2.8622626325559734E-2</v>
      </c>
      <c r="L46" s="8">
        <f t="shared" ca="1" si="13"/>
        <v>3.8335434500242511E-6</v>
      </c>
      <c r="M46" s="8">
        <f t="shared" ca="1" si="5"/>
        <v>46236692.921517529</v>
      </c>
      <c r="N46" s="8">
        <f t="shared" ca="1" si="6"/>
        <v>73463252.164442986</v>
      </c>
      <c r="O46" s="8">
        <f t="shared" ca="1" si="7"/>
        <v>20110877.69520836</v>
      </c>
      <c r="P46" s="3">
        <f t="shared" ca="1" si="14"/>
        <v>1.9579436789714487E-3</v>
      </c>
      <c r="Q46" s="3"/>
      <c r="R46" s="3"/>
      <c r="S46" s="3"/>
    </row>
    <row r="47" spans="1:19" x14ac:dyDescent="0.2">
      <c r="A47" s="43">
        <v>-3863</v>
      </c>
      <c r="B47" s="43">
        <v>2.69841100089252E-2</v>
      </c>
      <c r="C47" s="3"/>
      <c r="D47" s="44">
        <f t="shared" si="3"/>
        <v>-0.38629999999999998</v>
      </c>
      <c r="E47" s="44">
        <f t="shared" si="3"/>
        <v>2.69841100089252E-2</v>
      </c>
      <c r="F47" s="8">
        <f t="shared" si="8"/>
        <v>0.14922768999999997</v>
      </c>
      <c r="G47" s="8">
        <f t="shared" si="9"/>
        <v>-5.7646656646999986E-2</v>
      </c>
      <c r="H47" s="8">
        <f t="shared" si="10"/>
        <v>2.2268903462736092E-2</v>
      </c>
      <c r="I47" s="8">
        <f t="shared" si="11"/>
        <v>-1.0423961696447805E-2</v>
      </c>
      <c r="J47" s="8">
        <f t="shared" si="12"/>
        <v>4.0267764033377869E-3</v>
      </c>
      <c r="K47" s="8">
        <f t="shared" ca="1" si="4"/>
        <v>2.7810925672048403E-2</v>
      </c>
      <c r="L47" s="8">
        <f t="shared" ca="1" si="13"/>
        <v>6.836241407858632E-7</v>
      </c>
      <c r="M47" s="8">
        <f t="shared" ca="1" si="5"/>
        <v>46291203.419930167</v>
      </c>
      <c r="N47" s="8">
        <f t="shared" ca="1" si="6"/>
        <v>70268769.510804221</v>
      </c>
      <c r="O47" s="8">
        <f t="shared" ca="1" si="7"/>
        <v>19472337.39980188</v>
      </c>
      <c r="P47" s="3">
        <f t="shared" ca="1" si="14"/>
        <v>-8.2681566312320376E-4</v>
      </c>
      <c r="Q47" s="3"/>
      <c r="R47" s="3"/>
      <c r="S47" s="3"/>
    </row>
    <row r="48" spans="1:19" x14ac:dyDescent="0.2">
      <c r="A48" s="43">
        <v>-3839.5</v>
      </c>
      <c r="B48" s="43">
        <v>2.4034815003687982E-2</v>
      </c>
      <c r="C48" s="3"/>
      <c r="D48" s="44">
        <f t="shared" si="3"/>
        <v>-0.38395000000000001</v>
      </c>
      <c r="E48" s="44">
        <f t="shared" si="3"/>
        <v>2.4034815003687982E-2</v>
      </c>
      <c r="F48" s="8">
        <f t="shared" si="8"/>
        <v>0.14741760250000002</v>
      </c>
      <c r="G48" s="8">
        <f t="shared" si="9"/>
        <v>-5.6600988479875013E-2</v>
      </c>
      <c r="H48" s="8">
        <f t="shared" si="10"/>
        <v>2.1731949526848014E-2</v>
      </c>
      <c r="I48" s="8">
        <f t="shared" si="11"/>
        <v>-9.228167220666E-3</v>
      </c>
      <c r="J48" s="8">
        <f t="shared" si="12"/>
        <v>3.5431548043747107E-3</v>
      </c>
      <c r="K48" s="8">
        <f t="shared" ca="1" si="4"/>
        <v>2.7648732865735201E-2</v>
      </c>
      <c r="L48" s="8">
        <f t="shared" ca="1" si="13"/>
        <v>1.3060402313623945E-5</v>
      </c>
      <c r="M48" s="8">
        <f t="shared" ca="1" si="5"/>
        <v>46301418.912629679</v>
      </c>
      <c r="N48" s="8">
        <f t="shared" ca="1" si="6"/>
        <v>69635872.899616748</v>
      </c>
      <c r="O48" s="8">
        <f t="shared" ca="1" si="7"/>
        <v>19345183.924572129</v>
      </c>
      <c r="P48" s="3">
        <f t="shared" ca="1" si="14"/>
        <v>-3.6139178620472195E-3</v>
      </c>
      <c r="Q48" s="3"/>
      <c r="R48" s="3"/>
      <c r="S48" s="3"/>
    </row>
    <row r="49" spans="1:19" x14ac:dyDescent="0.2">
      <c r="A49" s="43">
        <v>-3828</v>
      </c>
      <c r="B49" s="43">
        <v>2.9485160004696809E-2</v>
      </c>
      <c r="C49" s="3"/>
      <c r="D49" s="44">
        <f t="shared" si="3"/>
        <v>-0.38279999999999997</v>
      </c>
      <c r="E49" s="44">
        <f t="shared" si="3"/>
        <v>2.9485160004696809E-2</v>
      </c>
      <c r="F49" s="8">
        <f t="shared" si="8"/>
        <v>0.14653583999999997</v>
      </c>
      <c r="G49" s="8">
        <f t="shared" si="9"/>
        <v>-5.6093919551999986E-2</v>
      </c>
      <c r="H49" s="8">
        <f t="shared" si="10"/>
        <v>2.1472752404505593E-2</v>
      </c>
      <c r="I49" s="8">
        <f t="shared" si="11"/>
        <v>-1.1286919249797937E-2</v>
      </c>
      <c r="J49" s="8">
        <f t="shared" si="12"/>
        <v>4.3206326888226496E-3</v>
      </c>
      <c r="K49" s="8">
        <f t="shared" ca="1" si="4"/>
        <v>2.7569296486974128E-2</v>
      </c>
      <c r="L49" s="8">
        <f t="shared" ca="1" si="13"/>
        <v>3.6705330185407255E-6</v>
      </c>
      <c r="M49" s="8">
        <f t="shared" ca="1" si="5"/>
        <v>46306340.408498205</v>
      </c>
      <c r="N49" s="8">
        <f t="shared" ca="1" si="6"/>
        <v>69326574.573257074</v>
      </c>
      <c r="O49" s="8">
        <f t="shared" ca="1" si="7"/>
        <v>19282964.645683158</v>
      </c>
      <c r="P49" s="3">
        <f t="shared" ca="1" si="14"/>
        <v>1.915863517722681E-3</v>
      </c>
      <c r="Q49" s="3"/>
      <c r="R49" s="3"/>
      <c r="S49" s="3"/>
    </row>
    <row r="50" spans="1:19" x14ac:dyDescent="0.2">
      <c r="A50" s="43">
        <v>-3812</v>
      </c>
      <c r="B50" s="43">
        <v>2.9285640004673041E-2</v>
      </c>
      <c r="C50" s="3"/>
      <c r="D50" s="44">
        <f t="shared" si="3"/>
        <v>-0.38119999999999998</v>
      </c>
      <c r="E50" s="44">
        <f t="shared" si="3"/>
        <v>2.9285640004673041E-2</v>
      </c>
      <c r="F50" s="8">
        <f t="shared" si="8"/>
        <v>0.14531343999999999</v>
      </c>
      <c r="G50" s="8">
        <f t="shared" si="9"/>
        <v>-5.5393483327999996E-2</v>
      </c>
      <c r="H50" s="8">
        <f t="shared" si="10"/>
        <v>2.1115995844633598E-2</v>
      </c>
      <c r="I50" s="8">
        <f t="shared" si="11"/>
        <v>-1.1163685969781362E-2</v>
      </c>
      <c r="J50" s="8">
        <f t="shared" si="12"/>
        <v>4.2555970916806551E-3</v>
      </c>
      <c r="K50" s="8">
        <f t="shared" ca="1" si="4"/>
        <v>2.7458704780782477E-2</v>
      </c>
      <c r="L50" s="8">
        <f t="shared" ca="1" si="13"/>
        <v>3.3376923122920657E-6</v>
      </c>
      <c r="M50" s="8">
        <f t="shared" ca="1" si="5"/>
        <v>46313102.884458371</v>
      </c>
      <c r="N50" s="8">
        <f t="shared" ca="1" si="6"/>
        <v>68896709.12231946</v>
      </c>
      <c r="O50" s="8">
        <f t="shared" ca="1" si="7"/>
        <v>19196405.047005564</v>
      </c>
      <c r="P50" s="3">
        <f t="shared" ca="1" si="14"/>
        <v>1.8269352238905641E-3</v>
      </c>
      <c r="Q50" s="3"/>
      <c r="R50" s="3"/>
      <c r="S50" s="3"/>
    </row>
    <row r="51" spans="1:19" x14ac:dyDescent="0.2">
      <c r="A51" s="43">
        <v>-3732</v>
      </c>
      <c r="B51" s="43">
        <v>3.0288039997685701E-2</v>
      </c>
      <c r="C51" s="3"/>
      <c r="D51" s="44">
        <f t="shared" si="3"/>
        <v>-0.37319999999999998</v>
      </c>
      <c r="E51" s="44">
        <f t="shared" si="3"/>
        <v>3.0288039997685701E-2</v>
      </c>
      <c r="F51" s="8">
        <f t="shared" si="8"/>
        <v>0.13927823999999997</v>
      </c>
      <c r="G51" s="8">
        <f t="shared" si="9"/>
        <v>-5.1978639167999982E-2</v>
      </c>
      <c r="H51" s="8">
        <f t="shared" si="10"/>
        <v>1.9398428137497592E-2</v>
      </c>
      <c r="I51" s="8">
        <f t="shared" si="11"/>
        <v>-1.1303496527136303E-2</v>
      </c>
      <c r="J51" s="8">
        <f t="shared" si="12"/>
        <v>4.218464903927268E-3</v>
      </c>
      <c r="K51" s="8">
        <f t="shared" ca="1" si="4"/>
        <v>2.6904497777751765E-2</v>
      </c>
      <c r="L51" s="8">
        <f t="shared" ca="1" si="13"/>
        <v>1.1448357954075465E-5</v>
      </c>
      <c r="M51" s="8">
        <f t="shared" ca="1" si="5"/>
        <v>46345434.005110964</v>
      </c>
      <c r="N51" s="8">
        <f t="shared" ca="1" si="6"/>
        <v>66755707.122131616</v>
      </c>
      <c r="O51" s="8">
        <f t="shared" ca="1" si="7"/>
        <v>18763760.418864764</v>
      </c>
      <c r="P51" s="3">
        <f t="shared" ca="1" si="14"/>
        <v>3.3835422199339354E-3</v>
      </c>
      <c r="Q51" s="3"/>
      <c r="R51" s="3"/>
      <c r="S51" s="3"/>
    </row>
    <row r="52" spans="1:19" x14ac:dyDescent="0.2">
      <c r="A52" s="43">
        <v>-3316</v>
      </c>
      <c r="B52" s="43">
        <v>2.8100520001316909E-2</v>
      </c>
      <c r="C52" s="3"/>
      <c r="D52" s="44">
        <f t="shared" si="3"/>
        <v>-0.33160000000000001</v>
      </c>
      <c r="E52" s="44">
        <f t="shared" si="3"/>
        <v>2.8100520001316909E-2</v>
      </c>
      <c r="F52" s="8">
        <f t="shared" si="8"/>
        <v>0.10995856000000001</v>
      </c>
      <c r="G52" s="8">
        <f t="shared" si="9"/>
        <v>-3.6462258496000002E-2</v>
      </c>
      <c r="H52" s="8">
        <f t="shared" si="10"/>
        <v>1.2090884917273602E-2</v>
      </c>
      <c r="I52" s="8">
        <f t="shared" si="11"/>
        <v>-9.318132432436687E-3</v>
      </c>
      <c r="J52" s="8">
        <f t="shared" si="12"/>
        <v>3.0898927145960055E-3</v>
      </c>
      <c r="K52" s="8">
        <f t="shared" ca="1" si="4"/>
        <v>2.3989079078978771E-2</v>
      </c>
      <c r="L52" s="8">
        <f t="shared" ca="1" si="13"/>
        <v>1.6903946457876675E-5</v>
      </c>
      <c r="M52" s="8">
        <f t="shared" ca="1" si="5"/>
        <v>46473678.602167502</v>
      </c>
      <c r="N52" s="8">
        <f t="shared" ca="1" si="6"/>
        <v>55878618.071182862</v>
      </c>
      <c r="O52" s="8">
        <f t="shared" ca="1" si="7"/>
        <v>16523656.259545827</v>
      </c>
      <c r="P52" s="3">
        <f t="shared" ca="1" si="14"/>
        <v>4.1114409223381373E-3</v>
      </c>
      <c r="Q52" s="3"/>
      <c r="R52" s="3"/>
      <c r="S52" s="3"/>
    </row>
    <row r="53" spans="1:19" x14ac:dyDescent="0.2">
      <c r="A53" s="43">
        <v>-1862</v>
      </c>
      <c r="B53" s="43">
        <v>1.7944140003237408E-2</v>
      </c>
      <c r="C53" s="3"/>
      <c r="D53" s="44">
        <f t="shared" ref="D53:E83" si="15">A53/A$18</f>
        <v>-0.1862</v>
      </c>
      <c r="E53" s="44">
        <f t="shared" si="15"/>
        <v>1.7944140003237408E-2</v>
      </c>
      <c r="F53" s="8">
        <f t="shared" si="8"/>
        <v>3.4670440000000004E-2</v>
      </c>
      <c r="G53" s="8">
        <f t="shared" si="9"/>
        <v>-6.455635928000001E-3</v>
      </c>
      <c r="H53" s="8">
        <f t="shared" si="10"/>
        <v>1.2020394097936003E-3</v>
      </c>
      <c r="I53" s="8">
        <f t="shared" si="11"/>
        <v>-3.3411988686028052E-3</v>
      </c>
      <c r="J53" s="8">
        <f t="shared" si="12"/>
        <v>6.2213122933384233E-4</v>
      </c>
      <c r="K53" s="8">
        <f t="shared" ref="K53:K84" ca="1" si="16">+E$4+E$5*D53+E$6*D53^2</f>
        <v>1.3357128689694469E-2</v>
      </c>
      <c r="L53" s="8">
        <f t="shared" ca="1" si="13"/>
        <v>2.1040672790570914E-5</v>
      </c>
      <c r="M53" s="8">
        <f t="shared" ca="1" si="5"/>
        <v>46394499.127852075</v>
      </c>
      <c r="N53" s="8">
        <f t="shared" ca="1" si="6"/>
        <v>22955703.027595427</v>
      </c>
      <c r="O53" s="8">
        <f t="shared" ca="1" si="7"/>
        <v>9116638.6758633871</v>
      </c>
      <c r="P53" s="3">
        <f t="shared" ca="1" si="14"/>
        <v>4.5870113135429384E-3</v>
      </c>
      <c r="Q53" s="3"/>
      <c r="R53" s="3"/>
      <c r="S53" s="3"/>
    </row>
    <row r="54" spans="1:19" x14ac:dyDescent="0.2">
      <c r="A54" s="43">
        <v>-1591</v>
      </c>
      <c r="B54" s="43">
        <v>1.7952270005480386E-2</v>
      </c>
      <c r="C54" s="3"/>
      <c r="D54" s="44">
        <f t="shared" si="15"/>
        <v>-0.15909999999999999</v>
      </c>
      <c r="E54" s="44">
        <f t="shared" si="15"/>
        <v>1.7952270005480386E-2</v>
      </c>
      <c r="F54" s="8">
        <f t="shared" si="8"/>
        <v>2.5312809999999998E-2</v>
      </c>
      <c r="G54" s="8">
        <f t="shared" si="9"/>
        <v>-4.0272680709999998E-3</v>
      </c>
      <c r="H54" s="8">
        <f t="shared" si="10"/>
        <v>6.4073835009609986E-4</v>
      </c>
      <c r="I54" s="8">
        <f t="shared" si="11"/>
        <v>-2.8562061578719291E-3</v>
      </c>
      <c r="J54" s="8">
        <f t="shared" si="12"/>
        <v>4.5442239971742388E-4</v>
      </c>
      <c r="K54" s="8">
        <f t="shared" ca="1" si="16"/>
        <v>1.1299526907511287E-2</v>
      </c>
      <c r="L54" s="8">
        <f t="shared" ca="1" si="13"/>
        <v>4.4258990727575488E-5</v>
      </c>
      <c r="M54" s="8">
        <f t="shared" ca="1" si="5"/>
        <v>46289146.625003383</v>
      </c>
      <c r="N54" s="8">
        <f t="shared" ca="1" si="6"/>
        <v>18039384.293670658</v>
      </c>
      <c r="O54" s="8">
        <f t="shared" ca="1" si="7"/>
        <v>7868370.9930628594</v>
      </c>
      <c r="P54" s="3">
        <f t="shared" ca="1" si="14"/>
        <v>6.652743097969099E-3</v>
      </c>
      <c r="Q54" s="3"/>
      <c r="R54" s="3"/>
      <c r="S54" s="3"/>
    </row>
    <row r="55" spans="1:19" x14ac:dyDescent="0.2">
      <c r="A55" s="43">
        <v>0</v>
      </c>
      <c r="B55" s="43">
        <v>0</v>
      </c>
      <c r="C55" s="3"/>
      <c r="D55" s="44">
        <f t="shared" si="15"/>
        <v>0</v>
      </c>
      <c r="E55" s="44">
        <f t="shared" si="15"/>
        <v>0</v>
      </c>
      <c r="F55" s="8">
        <f t="shared" si="8"/>
        <v>0</v>
      </c>
      <c r="G55" s="8">
        <f t="shared" si="9"/>
        <v>0</v>
      </c>
      <c r="H55" s="8">
        <f t="shared" si="10"/>
        <v>0</v>
      </c>
      <c r="I55" s="8">
        <f t="shared" si="11"/>
        <v>0</v>
      </c>
      <c r="J55" s="8">
        <f t="shared" si="12"/>
        <v>0</v>
      </c>
      <c r="K55" s="8">
        <f t="shared" ca="1" si="16"/>
        <v>-1.261920777695797E-3</v>
      </c>
      <c r="L55" s="8">
        <f t="shared" ca="1" si="13"/>
        <v>1.5924440491803651E-6</v>
      </c>
      <c r="M55" s="8">
        <f t="shared" ca="1" si="5"/>
        <v>45104787.429188266</v>
      </c>
      <c r="N55" s="8">
        <f t="shared" ca="1" si="6"/>
        <v>603909.73538274481</v>
      </c>
      <c r="O55" s="8">
        <f t="shared" ca="1" si="7"/>
        <v>2026739.1181619386</v>
      </c>
      <c r="P55" s="3">
        <f t="shared" ca="1" si="14"/>
        <v>1.261920777695797E-3</v>
      </c>
      <c r="Q55" s="3"/>
      <c r="R55" s="3"/>
      <c r="S55" s="3"/>
    </row>
    <row r="56" spans="1:19" x14ac:dyDescent="0.2">
      <c r="A56" s="43">
        <v>38</v>
      </c>
      <c r="B56" s="43">
        <v>-1.0988599970005453E-3</v>
      </c>
      <c r="C56" s="3"/>
      <c r="D56" s="44">
        <f t="shared" si="15"/>
        <v>3.8E-3</v>
      </c>
      <c r="E56" s="44">
        <f t="shared" si="15"/>
        <v>-1.0988599970005453E-3</v>
      </c>
      <c r="F56" s="8">
        <f t="shared" si="8"/>
        <v>1.4440000000000001E-5</v>
      </c>
      <c r="G56" s="8">
        <f t="shared" si="9"/>
        <v>5.4872000000000003E-8</v>
      </c>
      <c r="H56" s="8">
        <f t="shared" si="10"/>
        <v>2.0851360000000002E-10</v>
      </c>
      <c r="I56" s="8">
        <f t="shared" si="11"/>
        <v>-4.1756679886020719E-6</v>
      </c>
      <c r="J56" s="8">
        <f t="shared" si="12"/>
        <v>-1.5867538356687872E-8</v>
      </c>
      <c r="K56" s="8">
        <f t="shared" ca="1" si="16"/>
        <v>-1.5720056639827011E-3</v>
      </c>
      <c r="L56" s="8">
        <f t="shared" ca="1" si="13"/>
        <v>2.238668221839891E-7</v>
      </c>
      <c r="M56" s="8">
        <f t="shared" ca="1" si="5"/>
        <v>45064854.82854265</v>
      </c>
      <c r="N56" s="8">
        <f t="shared" ca="1" si="6"/>
        <v>473962.42148628092</v>
      </c>
      <c r="O56" s="8">
        <f t="shared" ca="1" si="7"/>
        <v>1926729.551638769</v>
      </c>
      <c r="P56" s="3">
        <f t="shared" ca="1" si="14"/>
        <v>4.7314566698215582E-4</v>
      </c>
      <c r="Q56" s="3"/>
      <c r="R56" s="3"/>
      <c r="S56" s="3"/>
    </row>
    <row r="57" spans="1:19" x14ac:dyDescent="0.2">
      <c r="A57" s="43">
        <v>461</v>
      </c>
      <c r="B57" s="43">
        <v>-1.086169999325648E-3</v>
      </c>
      <c r="C57" s="3"/>
      <c r="D57" s="44">
        <f t="shared" si="15"/>
        <v>4.6100000000000002E-2</v>
      </c>
      <c r="E57" s="44">
        <f t="shared" si="15"/>
        <v>-1.086169999325648E-3</v>
      </c>
      <c r="F57" s="8">
        <f t="shared" si="8"/>
        <v>2.1252100000000002E-3</v>
      </c>
      <c r="G57" s="8">
        <f t="shared" si="9"/>
        <v>9.7972181000000012E-5</v>
      </c>
      <c r="H57" s="8">
        <f t="shared" si="10"/>
        <v>4.5165175441000007E-6</v>
      </c>
      <c r="I57" s="8">
        <f t="shared" si="11"/>
        <v>-5.0072436968912373E-5</v>
      </c>
      <c r="J57" s="8">
        <f t="shared" si="12"/>
        <v>-2.3083393442668607E-6</v>
      </c>
      <c r="K57" s="8">
        <f t="shared" ca="1" si="16"/>
        <v>-5.0554400299702091E-3</v>
      </c>
      <c r="L57" s="8">
        <f t="shared" ca="1" si="13"/>
        <v>1.5755104576173077E-5</v>
      </c>
      <c r="M57" s="8">
        <f t="shared" ca="1" si="5"/>
        <v>44584454.960564397</v>
      </c>
      <c r="N57" s="8">
        <f t="shared" ca="1" si="6"/>
        <v>100347.34909091043</v>
      </c>
      <c r="O57" s="8">
        <f t="shared" ca="1" si="7"/>
        <v>968289.1372837919</v>
      </c>
      <c r="P57" s="3">
        <f t="shared" ca="1" si="14"/>
        <v>3.9692700306445611E-3</v>
      </c>
      <c r="Q57" s="3"/>
      <c r="R57" s="3"/>
      <c r="S57" s="3"/>
    </row>
    <row r="58" spans="1:19" x14ac:dyDescent="0.2">
      <c r="A58" s="43">
        <v>2013</v>
      </c>
      <c r="B58" s="43">
        <v>-1.6209609995712526E-2</v>
      </c>
      <c r="C58" s="3"/>
      <c r="D58" s="44">
        <f t="shared" si="15"/>
        <v>0.20130000000000001</v>
      </c>
      <c r="E58" s="44">
        <f t="shared" si="15"/>
        <v>-1.6209609995712526E-2</v>
      </c>
      <c r="F58" s="8">
        <f t="shared" si="8"/>
        <v>4.0521690000000006E-2</v>
      </c>
      <c r="G58" s="8">
        <f t="shared" si="9"/>
        <v>8.157016197000001E-3</v>
      </c>
      <c r="H58" s="8">
        <f t="shared" si="10"/>
        <v>1.6420073604561005E-3</v>
      </c>
      <c r="I58" s="8">
        <f t="shared" si="11"/>
        <v>-3.2629944921369314E-3</v>
      </c>
      <c r="J58" s="8">
        <f t="shared" si="12"/>
        <v>-6.5684079126716432E-4</v>
      </c>
      <c r="K58" s="8">
        <f t="shared" ca="1" si="16"/>
        <v>-1.8334551185681967E-2</v>
      </c>
      <c r="L58" s="8">
        <f t="shared" ca="1" si="13"/>
        <v>4.5153750608287444E-6</v>
      </c>
      <c r="M58" s="8">
        <f t="shared" ca="1" si="5"/>
        <v>42274549.422423922</v>
      </c>
      <c r="N58" s="8">
        <f t="shared" ca="1" si="6"/>
        <v>18416177.969841279</v>
      </c>
      <c r="O58" s="8">
        <f t="shared" ca="1" si="7"/>
        <v>391801.68036746507</v>
      </c>
      <c r="P58" s="3">
        <f t="shared" ca="1" si="14"/>
        <v>2.1249411899694412E-3</v>
      </c>
      <c r="Q58" s="3"/>
      <c r="R58" s="3"/>
      <c r="S58" s="3"/>
    </row>
    <row r="59" spans="1:19" x14ac:dyDescent="0.2">
      <c r="A59" s="43">
        <v>2535</v>
      </c>
      <c r="B59" s="43">
        <v>-2.0443950001208577E-2</v>
      </c>
      <c r="C59" s="3"/>
      <c r="D59" s="44">
        <f t="shared" si="15"/>
        <v>0.2535</v>
      </c>
      <c r="E59" s="44">
        <f t="shared" si="15"/>
        <v>-2.0443950001208577E-2</v>
      </c>
      <c r="F59" s="8">
        <f t="shared" si="8"/>
        <v>6.4262250000000007E-2</v>
      </c>
      <c r="G59" s="8">
        <f t="shared" si="9"/>
        <v>1.6290480375000003E-2</v>
      </c>
      <c r="H59" s="8">
        <f t="shared" si="10"/>
        <v>4.1296367750625011E-3</v>
      </c>
      <c r="I59" s="8">
        <f t="shared" si="11"/>
        <v>-5.1825413253063744E-3</v>
      </c>
      <c r="J59" s="8">
        <f t="shared" si="12"/>
        <v>-1.313774225965166E-3</v>
      </c>
      <c r="K59" s="8">
        <f t="shared" ca="1" si="16"/>
        <v>-2.2976843766481368E-2</v>
      </c>
      <c r="L59" s="8">
        <f t="shared" ca="1" si="13"/>
        <v>6.4155508261577761E-6</v>
      </c>
      <c r="M59" s="8">
        <f t="shared" ca="1" si="5"/>
        <v>41313074.531038702</v>
      </c>
      <c r="N59" s="8">
        <f t="shared" ca="1" si="6"/>
        <v>32826041.463790264</v>
      </c>
      <c r="O59" s="8">
        <f t="shared" ca="1" si="7"/>
        <v>1470063.9865488154</v>
      </c>
      <c r="P59" s="3">
        <f t="shared" ca="1" si="14"/>
        <v>2.5328937652727909E-3</v>
      </c>
      <c r="Q59" s="3"/>
      <c r="R59" s="3"/>
      <c r="S59" s="3"/>
    </row>
    <row r="60" spans="1:19" x14ac:dyDescent="0.2">
      <c r="A60" s="43">
        <v>3582</v>
      </c>
      <c r="B60" s="43">
        <v>-3.2792539997899439E-2</v>
      </c>
      <c r="C60" s="3"/>
      <c r="D60" s="44">
        <f t="shared" si="15"/>
        <v>0.35820000000000002</v>
      </c>
      <c r="E60" s="44">
        <f t="shared" si="15"/>
        <v>-3.2792539997899439E-2</v>
      </c>
      <c r="F60" s="8">
        <f t="shared" si="8"/>
        <v>0.12830724000000002</v>
      </c>
      <c r="G60" s="8">
        <f t="shared" si="9"/>
        <v>4.5959653368000009E-2</v>
      </c>
      <c r="H60" s="8">
        <f t="shared" si="10"/>
        <v>1.6462747836417605E-2</v>
      </c>
      <c r="I60" s="8">
        <f t="shared" si="11"/>
        <v>-1.1746287827247581E-2</v>
      </c>
      <c r="J60" s="8">
        <f t="shared" si="12"/>
        <v>-4.2075202997200831E-3</v>
      </c>
      <c r="K60" s="8">
        <f t="shared" ca="1" si="16"/>
        <v>-3.255515548374343E-2</v>
      </c>
      <c r="L60" s="8">
        <f t="shared" ca="1" si="13"/>
        <v>5.6351407561084743E-8</v>
      </c>
      <c r="M60" s="8">
        <f t="shared" ca="1" si="5"/>
        <v>39124824.058876142</v>
      </c>
      <c r="N60" s="8">
        <f t="shared" ca="1" si="6"/>
        <v>76863085.803181231</v>
      </c>
      <c r="O60" s="8">
        <f t="shared" ca="1" si="7"/>
        <v>6037827.8384094397</v>
      </c>
      <c r="P60" s="3">
        <f t="shared" ca="1" si="14"/>
        <v>-2.3738451415600964E-4</v>
      </c>
      <c r="Q60" s="3"/>
      <c r="R60" s="3"/>
      <c r="S60" s="3"/>
    </row>
    <row r="61" spans="1:19" x14ac:dyDescent="0.2">
      <c r="A61" s="43">
        <v>3643</v>
      </c>
      <c r="B61" s="43">
        <v>-3.3390709999366663E-2</v>
      </c>
      <c r="C61" s="3"/>
      <c r="D61" s="44">
        <f t="shared" si="15"/>
        <v>0.36430000000000001</v>
      </c>
      <c r="E61" s="44">
        <f t="shared" si="15"/>
        <v>-3.3390709999366663E-2</v>
      </c>
      <c r="F61" s="8">
        <f t="shared" si="8"/>
        <v>0.13271449000000002</v>
      </c>
      <c r="G61" s="8">
        <f t="shared" si="9"/>
        <v>4.8347888707000006E-2</v>
      </c>
      <c r="H61" s="8">
        <f t="shared" si="10"/>
        <v>1.7613135855960103E-2</v>
      </c>
      <c r="I61" s="8">
        <f t="shared" si="11"/>
        <v>-1.2164235652769275E-2</v>
      </c>
      <c r="J61" s="8">
        <f t="shared" si="12"/>
        <v>-4.4314310483038475E-3</v>
      </c>
      <c r="K61" s="8">
        <f t="shared" ca="1" si="16"/>
        <v>-3.3124191412919342E-2</v>
      </c>
      <c r="L61" s="8">
        <f t="shared" ca="1" si="13"/>
        <v>7.1032156921878427E-8</v>
      </c>
      <c r="M61" s="8">
        <f t="shared" ca="1" si="5"/>
        <v>38987151.481829382</v>
      </c>
      <c r="N61" s="8">
        <f t="shared" ca="1" si="6"/>
        <v>80110737.648872018</v>
      </c>
      <c r="O61" s="8">
        <f t="shared" ca="1" si="7"/>
        <v>6413712.0743321879</v>
      </c>
      <c r="P61" s="3">
        <f t="shared" ca="1" si="14"/>
        <v>-2.6651858644732157E-4</v>
      </c>
      <c r="Q61" s="3"/>
      <c r="R61" s="3"/>
      <c r="S61" s="3"/>
    </row>
    <row r="62" spans="1:19" x14ac:dyDescent="0.2">
      <c r="A62" s="43">
        <v>3645</v>
      </c>
      <c r="B62" s="43">
        <v>-2.5690649999887682E-2</v>
      </c>
      <c r="C62" s="3"/>
      <c r="D62" s="44">
        <f t="shared" si="15"/>
        <v>0.36449999999999999</v>
      </c>
      <c r="E62" s="44">
        <f t="shared" si="15"/>
        <v>-2.5690649999887682E-2</v>
      </c>
      <c r="F62" s="8">
        <f t="shared" si="8"/>
        <v>0.13286024999999999</v>
      </c>
      <c r="G62" s="8">
        <f t="shared" si="9"/>
        <v>4.842756112499999E-2</v>
      </c>
      <c r="H62" s="8">
        <f t="shared" si="10"/>
        <v>1.7651846030062496E-2</v>
      </c>
      <c r="I62" s="8">
        <f t="shared" si="11"/>
        <v>-9.3642419249590596E-3</v>
      </c>
      <c r="J62" s="8">
        <f t="shared" si="12"/>
        <v>-3.4132661816475771E-3</v>
      </c>
      <c r="K62" s="8">
        <f t="shared" ca="1" si="16"/>
        <v>-3.3142868811374966E-2</v>
      </c>
      <c r="L62" s="8">
        <f t="shared" ca="1" si="13"/>
        <v>5.5535565214284945E-5</v>
      </c>
      <c r="M62" s="8">
        <f t="shared" ca="1" si="5"/>
        <v>38982619.335779071</v>
      </c>
      <c r="N62" s="8">
        <f t="shared" ca="1" si="6"/>
        <v>80218566.674501598</v>
      </c>
      <c r="O62" s="8">
        <f t="shared" ca="1" si="7"/>
        <v>6426254.8779152269</v>
      </c>
      <c r="P62" s="3">
        <f t="shared" ca="1" si="14"/>
        <v>7.4522188114872837E-3</v>
      </c>
      <c r="Q62" s="3"/>
      <c r="R62" s="3"/>
      <c r="S62" s="3"/>
    </row>
    <row r="63" spans="1:19" x14ac:dyDescent="0.2">
      <c r="A63" s="43">
        <v>4113</v>
      </c>
      <c r="B63" s="43">
        <v>-3.8476609995996114E-2</v>
      </c>
      <c r="C63" s="3"/>
      <c r="D63" s="44">
        <f t="shared" si="15"/>
        <v>0.4113</v>
      </c>
      <c r="E63" s="44">
        <f t="shared" si="15"/>
        <v>-3.8476609995996114E-2</v>
      </c>
      <c r="F63" s="8">
        <f t="shared" si="8"/>
        <v>0.16916769000000001</v>
      </c>
      <c r="G63" s="8">
        <f t="shared" si="9"/>
        <v>6.9578670896999997E-2</v>
      </c>
      <c r="H63" s="8">
        <f t="shared" si="10"/>
        <v>2.8617707339936103E-2</v>
      </c>
      <c r="I63" s="8">
        <f t="shared" si="11"/>
        <v>-1.5825429691353202E-2</v>
      </c>
      <c r="J63" s="8">
        <f t="shared" si="12"/>
        <v>-6.5089992320535722E-3</v>
      </c>
      <c r="K63" s="8">
        <f t="shared" ca="1" si="16"/>
        <v>-3.7549137070441226E-2</v>
      </c>
      <c r="L63" s="8">
        <f t="shared" ca="1" si="13"/>
        <v>8.6020602763734336E-7</v>
      </c>
      <c r="M63" s="8">
        <f t="shared" ca="1" si="5"/>
        <v>37890779.300838783</v>
      </c>
      <c r="N63" s="8">
        <f t="shared" ca="1" si="6"/>
        <v>107871030.51508144</v>
      </c>
      <c r="O63" s="8">
        <f t="shared" ca="1" si="7"/>
        <v>9755217.4157004021</v>
      </c>
      <c r="P63" s="3">
        <f t="shared" ca="1" si="14"/>
        <v>-9.2747292555488831E-4</v>
      </c>
      <c r="Q63" s="3"/>
      <c r="R63" s="3"/>
      <c r="S63" s="3"/>
    </row>
    <row r="64" spans="1:19" x14ac:dyDescent="0.2">
      <c r="A64" s="43">
        <v>4693.5</v>
      </c>
      <c r="B64" s="43">
        <v>-4.9009194997779559E-2</v>
      </c>
      <c r="C64" s="3"/>
      <c r="D64" s="44">
        <f t="shared" si="15"/>
        <v>0.46934999999999999</v>
      </c>
      <c r="E64" s="44">
        <f t="shared" si="15"/>
        <v>-4.9009194997779559E-2</v>
      </c>
      <c r="F64" s="8">
        <f t="shared" si="8"/>
        <v>0.2202894225</v>
      </c>
      <c r="G64" s="8">
        <f t="shared" si="9"/>
        <v>0.103392840450375</v>
      </c>
      <c r="H64" s="8">
        <f t="shared" si="10"/>
        <v>4.8527429665383502E-2</v>
      </c>
      <c r="I64" s="8">
        <f t="shared" si="11"/>
        <v>-2.3002465672207834E-2</v>
      </c>
      <c r="J64" s="8">
        <f t="shared" si="12"/>
        <v>-1.0796207263250746E-2</v>
      </c>
      <c r="K64" s="8">
        <f t="shared" ca="1" si="16"/>
        <v>-4.311354815848753E-2</v>
      </c>
      <c r="L64" s="8">
        <f t="shared" ca="1" si="13"/>
        <v>3.4758651653654095E-5</v>
      </c>
      <c r="M64" s="8">
        <f t="shared" ca="1" si="5"/>
        <v>36453318.062540159</v>
      </c>
      <c r="N64" s="8">
        <f t="shared" ca="1" si="6"/>
        <v>149236697.93536797</v>
      </c>
      <c r="O64" s="8">
        <f t="shared" ca="1" si="7"/>
        <v>15042006.814730005</v>
      </c>
      <c r="P64" s="3">
        <f t="shared" ca="1" si="14"/>
        <v>-5.8956468392920292E-3</v>
      </c>
      <c r="Q64" s="3"/>
      <c r="R64" s="3"/>
      <c r="S64" s="3"/>
    </row>
    <row r="65" spans="1:19" x14ac:dyDescent="0.2">
      <c r="A65" s="43">
        <v>4695</v>
      </c>
      <c r="B65" s="43">
        <v>-4.1059150004002731E-2</v>
      </c>
      <c r="C65" s="3"/>
      <c r="D65" s="44">
        <f t="shared" si="15"/>
        <v>0.46949999999999997</v>
      </c>
      <c r="E65" s="44">
        <f t="shared" si="15"/>
        <v>-4.1059150004002731E-2</v>
      </c>
      <c r="F65" s="8">
        <f t="shared" si="8"/>
        <v>0.22043024999999997</v>
      </c>
      <c r="G65" s="8">
        <f t="shared" si="9"/>
        <v>0.10349200237499998</v>
      </c>
      <c r="H65" s="8">
        <f t="shared" si="10"/>
        <v>4.8589495115062484E-2</v>
      </c>
      <c r="I65" s="8">
        <f t="shared" si="11"/>
        <v>-1.9277270926879281E-2</v>
      </c>
      <c r="J65" s="8">
        <f t="shared" si="12"/>
        <v>-9.0506787001698227E-3</v>
      </c>
      <c r="K65" s="8">
        <f t="shared" ca="1" si="16"/>
        <v>-4.3128068397873816E-2</v>
      </c>
      <c r="L65" s="8">
        <f t="shared" ca="1" si="13"/>
        <v>4.2804233204981083E-6</v>
      </c>
      <c r="M65" s="8">
        <f t="shared" ca="1" si="5"/>
        <v>36449489.629265629</v>
      </c>
      <c r="N65" s="8">
        <f t="shared" ca="1" si="6"/>
        <v>149354257.14291063</v>
      </c>
      <c r="O65" s="8">
        <f t="shared" ca="1" si="7"/>
        <v>15057426.561481621</v>
      </c>
      <c r="P65" s="3">
        <f t="shared" ca="1" si="14"/>
        <v>2.0689183938710845E-3</v>
      </c>
      <c r="Q65" s="3"/>
      <c r="R65" s="3"/>
      <c r="S65" s="3"/>
    </row>
    <row r="66" spans="1:19" x14ac:dyDescent="0.2">
      <c r="A66" s="43">
        <v>4718</v>
      </c>
      <c r="B66" s="43">
        <v>-4.6558459995139856E-2</v>
      </c>
      <c r="C66" s="3"/>
      <c r="D66" s="44">
        <f t="shared" si="15"/>
        <v>0.4718</v>
      </c>
      <c r="E66" s="44">
        <f t="shared" si="15"/>
        <v>-4.6558459995139856E-2</v>
      </c>
      <c r="F66" s="8">
        <f t="shared" si="8"/>
        <v>0.22259524</v>
      </c>
      <c r="G66" s="8">
        <f t="shared" si="9"/>
        <v>0.105020434232</v>
      </c>
      <c r="H66" s="8">
        <f t="shared" si="10"/>
        <v>4.95486408706576E-2</v>
      </c>
      <c r="I66" s="8">
        <f t="shared" si="11"/>
        <v>-2.1966281425706984E-2</v>
      </c>
      <c r="J66" s="8">
        <f t="shared" si="12"/>
        <v>-1.0363691576648555E-2</v>
      </c>
      <c r="K66" s="8">
        <f t="shared" ca="1" si="16"/>
        <v>-4.3350803671850638E-2</v>
      </c>
      <c r="L66" s="8">
        <f t="shared" ca="1" si="13"/>
        <v>1.0289059088337304E-5</v>
      </c>
      <c r="M66" s="8">
        <f t="shared" ca="1" si="5"/>
        <v>36390715.373981804</v>
      </c>
      <c r="N66" s="8">
        <f t="shared" ca="1" si="6"/>
        <v>151163922.3180992</v>
      </c>
      <c r="O66" s="8">
        <f t="shared" ca="1" si="7"/>
        <v>15295035.179425448</v>
      </c>
      <c r="P66" s="3">
        <f t="shared" ca="1" si="14"/>
        <v>-3.207656323289218E-3</v>
      </c>
      <c r="Q66" s="3"/>
      <c r="R66" s="3"/>
      <c r="S66" s="3"/>
    </row>
    <row r="67" spans="1:19" x14ac:dyDescent="0.2">
      <c r="A67" s="43">
        <v>4751.5</v>
      </c>
      <c r="B67" s="43">
        <v>-4.0207454992923886E-2</v>
      </c>
      <c r="C67" s="3"/>
      <c r="D67" s="44">
        <f t="shared" si="15"/>
        <v>0.47515000000000002</v>
      </c>
      <c r="E67" s="44">
        <f t="shared" si="15"/>
        <v>-4.0207454992923886E-2</v>
      </c>
      <c r="F67" s="8">
        <f t="shared" si="8"/>
        <v>0.22576752250000001</v>
      </c>
      <c r="G67" s="8">
        <f t="shared" si="9"/>
        <v>0.10727343831587501</v>
      </c>
      <c r="H67" s="8">
        <f t="shared" si="10"/>
        <v>5.0970974215788015E-2</v>
      </c>
      <c r="I67" s="8">
        <f t="shared" si="11"/>
        <v>-1.9104572239887783E-2</v>
      </c>
      <c r="J67" s="8">
        <f t="shared" si="12"/>
        <v>-9.0775374997826806E-3</v>
      </c>
      <c r="K67" s="8">
        <f t="shared" ca="1" si="16"/>
        <v>-4.3675530128687169E-2</v>
      </c>
      <c r="L67" s="8">
        <f t="shared" ca="1" si="13"/>
        <v>1.2027545147299518E-5</v>
      </c>
      <c r="M67" s="8">
        <f t="shared" ca="1" si="5"/>
        <v>36304869.518015213</v>
      </c>
      <c r="N67" s="8">
        <f t="shared" ca="1" si="6"/>
        <v>153823621.80300677</v>
      </c>
      <c r="O67" s="8">
        <f t="shared" ca="1" si="7"/>
        <v>15645067.745525904</v>
      </c>
      <c r="P67" s="3">
        <f t="shared" ca="1" si="14"/>
        <v>3.4680751357632836E-3</v>
      </c>
      <c r="Q67" s="3"/>
      <c r="R67" s="3"/>
      <c r="S67" s="3"/>
    </row>
    <row r="68" spans="1:19" x14ac:dyDescent="0.2">
      <c r="A68" s="43">
        <v>4753</v>
      </c>
      <c r="B68" s="43">
        <v>-4.7757409993209876E-2</v>
      </c>
      <c r="C68" s="3"/>
      <c r="D68" s="44">
        <f t="shared" si="15"/>
        <v>0.4753</v>
      </c>
      <c r="E68" s="44">
        <f t="shared" si="15"/>
        <v>-4.7757409993209876E-2</v>
      </c>
      <c r="F68" s="8">
        <f t="shared" si="8"/>
        <v>0.22591009000000001</v>
      </c>
      <c r="G68" s="8">
        <f t="shared" si="9"/>
        <v>0.107375065777</v>
      </c>
      <c r="H68" s="8">
        <f t="shared" si="10"/>
        <v>5.1035368763808105E-2</v>
      </c>
      <c r="I68" s="8">
        <f t="shared" si="11"/>
        <v>-2.2699096969772653E-2</v>
      </c>
      <c r="J68" s="8">
        <f t="shared" si="12"/>
        <v>-1.0788880789732941E-2</v>
      </c>
      <c r="K68" s="8">
        <f t="shared" ca="1" si="16"/>
        <v>-4.3690078653768845E-2</v>
      </c>
      <c r="L68" s="8">
        <f t="shared" ca="1" si="13"/>
        <v>1.6543184224799174E-5</v>
      </c>
      <c r="M68" s="8">
        <f t="shared" ca="1" si="5"/>
        <v>36301019.038604803</v>
      </c>
      <c r="N68" s="8">
        <f t="shared" ca="1" si="6"/>
        <v>153943377.10123956</v>
      </c>
      <c r="O68" s="8">
        <f t="shared" ca="1" si="7"/>
        <v>15660850.757082617</v>
      </c>
      <c r="P68" s="3">
        <f t="shared" ca="1" si="14"/>
        <v>-4.0673313394410313E-3</v>
      </c>
      <c r="Q68" s="3"/>
      <c r="R68" s="3"/>
      <c r="S68" s="3"/>
    </row>
    <row r="69" spans="1:19" x14ac:dyDescent="0.2">
      <c r="A69" s="43">
        <v>4753</v>
      </c>
      <c r="B69" s="43">
        <v>-4.6657409999170341E-2</v>
      </c>
      <c r="C69" s="3"/>
      <c r="D69" s="44">
        <f t="shared" si="15"/>
        <v>0.4753</v>
      </c>
      <c r="E69" s="44">
        <f t="shared" si="15"/>
        <v>-4.6657409999170341E-2</v>
      </c>
      <c r="F69" s="8">
        <f t="shared" si="8"/>
        <v>0.22591009000000001</v>
      </c>
      <c r="G69" s="8">
        <f t="shared" si="9"/>
        <v>0.107375065777</v>
      </c>
      <c r="H69" s="8">
        <f t="shared" si="10"/>
        <v>5.1035368763808105E-2</v>
      </c>
      <c r="I69" s="8">
        <f t="shared" si="11"/>
        <v>-2.2176266972605663E-2</v>
      </c>
      <c r="J69" s="8">
        <f t="shared" si="12"/>
        <v>-1.0540379692079471E-2</v>
      </c>
      <c r="K69" s="8">
        <f t="shared" ca="1" si="16"/>
        <v>-4.3690078653768845E-2</v>
      </c>
      <c r="L69" s="8">
        <f t="shared" ca="1" si="13"/>
        <v>8.8050553134022515E-6</v>
      </c>
      <c r="M69" s="8">
        <f t="shared" ca="1" si="5"/>
        <v>36301019.038604803</v>
      </c>
      <c r="N69" s="8">
        <f t="shared" ca="1" si="6"/>
        <v>153943377.10123956</v>
      </c>
      <c r="O69" s="8">
        <f t="shared" ca="1" si="7"/>
        <v>15660850.757082617</v>
      </c>
      <c r="P69" s="3">
        <f t="shared" ca="1" si="14"/>
        <v>-2.9673313454014957E-3</v>
      </c>
      <c r="Q69" s="3"/>
      <c r="R69" s="3"/>
      <c r="S69" s="3"/>
    </row>
    <row r="70" spans="1:19" x14ac:dyDescent="0.2">
      <c r="A70" s="43">
        <v>4754.5</v>
      </c>
      <c r="B70" s="43">
        <v>-4.8607364995405078E-2</v>
      </c>
      <c r="C70" s="3"/>
      <c r="D70" s="44">
        <f t="shared" si="15"/>
        <v>0.47544999999999998</v>
      </c>
      <c r="E70" s="44">
        <f t="shared" si="15"/>
        <v>-4.8607364995405078E-2</v>
      </c>
      <c r="F70" s="8">
        <f t="shared" si="8"/>
        <v>0.22605270249999998</v>
      </c>
      <c r="G70" s="8">
        <f t="shared" si="9"/>
        <v>0.10747675740362499</v>
      </c>
      <c r="H70" s="8">
        <f t="shared" si="10"/>
        <v>5.1099824307553499E-2</v>
      </c>
      <c r="I70" s="8">
        <f t="shared" si="11"/>
        <v>-2.3110371687065343E-2</v>
      </c>
      <c r="J70" s="8">
        <f t="shared" si="12"/>
        <v>-1.0987826218615217E-2</v>
      </c>
      <c r="K70" s="8">
        <f t="shared" ca="1" si="16"/>
        <v>-4.3704627910377124E-2</v>
      </c>
      <c r="L70" s="8">
        <f t="shared" ca="1" si="13"/>
        <v>2.4036830924908403E-5</v>
      </c>
      <c r="M70" s="8">
        <f t="shared" ca="1" si="5"/>
        <v>36297167.991465539</v>
      </c>
      <c r="N70" s="8">
        <f t="shared" ca="1" si="6"/>
        <v>154063189.43619359</v>
      </c>
      <c r="O70" s="8">
        <f t="shared" ca="1" si="7"/>
        <v>15676643.207791034</v>
      </c>
      <c r="P70" s="3">
        <f t="shared" ca="1" si="14"/>
        <v>-4.9027370850279542E-3</v>
      </c>
      <c r="Q70" s="3"/>
      <c r="R70" s="3"/>
      <c r="S70" s="3"/>
    </row>
    <row r="71" spans="1:19" x14ac:dyDescent="0.2">
      <c r="A71" s="43">
        <v>5615</v>
      </c>
      <c r="B71" s="43">
        <v>-5.6531549998908304E-2</v>
      </c>
      <c r="C71" s="3"/>
      <c r="D71" s="44">
        <f t="shared" si="15"/>
        <v>0.5615</v>
      </c>
      <c r="E71" s="44">
        <f t="shared" si="15"/>
        <v>-5.6531549998908304E-2</v>
      </c>
      <c r="F71" s="8">
        <f t="shared" si="8"/>
        <v>0.31528224999999999</v>
      </c>
      <c r="G71" s="8">
        <f t="shared" si="9"/>
        <v>0.17703098337499998</v>
      </c>
      <c r="H71" s="8">
        <f t="shared" si="10"/>
        <v>9.9402897165062495E-2</v>
      </c>
      <c r="I71" s="8">
        <f t="shared" si="11"/>
        <v>-3.1742465324387015E-2</v>
      </c>
      <c r="J71" s="8">
        <f t="shared" si="12"/>
        <v>-1.7823394279643308E-2</v>
      </c>
      <c r="K71" s="8">
        <f t="shared" ca="1" si="16"/>
        <v>-5.2171631582607098E-2</v>
      </c>
      <c r="L71" s="8">
        <f t="shared" ca="1" si="13"/>
        <v>1.9008888596802417E-5</v>
      </c>
      <c r="M71" s="8">
        <f t="shared" ca="1" si="5"/>
        <v>33998366.969862506</v>
      </c>
      <c r="N71" s="8">
        <f t="shared" ca="1" si="6"/>
        <v>232587132.2981253</v>
      </c>
      <c r="O71" s="8">
        <f t="shared" ca="1" si="7"/>
        <v>26363940.370598514</v>
      </c>
      <c r="P71" s="3">
        <f t="shared" ca="1" si="14"/>
        <v>-4.3599184163012061E-3</v>
      </c>
      <c r="Q71" s="3"/>
      <c r="R71" s="3"/>
      <c r="S71" s="3"/>
    </row>
    <row r="72" spans="1:19" x14ac:dyDescent="0.2">
      <c r="A72" s="43"/>
      <c r="B72" s="43"/>
      <c r="C72" s="3"/>
      <c r="D72" s="44">
        <f t="shared" si="15"/>
        <v>0</v>
      </c>
      <c r="E72" s="44">
        <f t="shared" si="15"/>
        <v>0</v>
      </c>
      <c r="F72" s="8">
        <f t="shared" si="8"/>
        <v>0</v>
      </c>
      <c r="G72" s="8">
        <f t="shared" si="9"/>
        <v>0</v>
      </c>
      <c r="H72" s="8">
        <f t="shared" si="10"/>
        <v>0</v>
      </c>
      <c r="I72" s="8">
        <f t="shared" si="11"/>
        <v>0</v>
      </c>
      <c r="J72" s="8">
        <f t="shared" si="12"/>
        <v>0</v>
      </c>
      <c r="K72" s="8">
        <f t="shared" ca="1" si="16"/>
        <v>-1.261920777695797E-3</v>
      </c>
      <c r="L72" s="8">
        <f t="shared" ca="1" si="13"/>
        <v>1.5924440491803651E-6</v>
      </c>
      <c r="M72" s="8">
        <f t="shared" ca="1" si="5"/>
        <v>45104787.429188266</v>
      </c>
      <c r="N72" s="8">
        <f t="shared" ca="1" si="6"/>
        <v>603909.73538274481</v>
      </c>
      <c r="O72" s="8">
        <f t="shared" ca="1" si="7"/>
        <v>2026739.1181619386</v>
      </c>
      <c r="P72" s="3">
        <f t="shared" ca="1" si="14"/>
        <v>1.261920777695797E-3</v>
      </c>
      <c r="Q72" s="3"/>
      <c r="R72" s="3"/>
      <c r="S72" s="3"/>
    </row>
    <row r="73" spans="1:19" x14ac:dyDescent="0.2">
      <c r="A73" s="43"/>
      <c r="B73" s="43"/>
      <c r="C73" s="3"/>
      <c r="D73" s="44">
        <f t="shared" si="15"/>
        <v>0</v>
      </c>
      <c r="E73" s="44">
        <f t="shared" si="15"/>
        <v>0</v>
      </c>
      <c r="F73" s="8">
        <f t="shared" si="8"/>
        <v>0</v>
      </c>
      <c r="G73" s="8">
        <f t="shared" si="9"/>
        <v>0</v>
      </c>
      <c r="H73" s="8">
        <f t="shared" si="10"/>
        <v>0</v>
      </c>
      <c r="I73" s="8">
        <f t="shared" si="11"/>
        <v>0</v>
      </c>
      <c r="J73" s="8">
        <f t="shared" si="12"/>
        <v>0</v>
      </c>
      <c r="K73" s="8">
        <f t="shared" ca="1" si="16"/>
        <v>-1.261920777695797E-3</v>
      </c>
      <c r="L73" s="8">
        <f t="shared" ca="1" si="13"/>
        <v>1.5924440491803651E-6</v>
      </c>
      <c r="M73" s="8">
        <f t="shared" ca="1" si="5"/>
        <v>45104787.429188266</v>
      </c>
      <c r="N73" s="8">
        <f t="shared" ca="1" si="6"/>
        <v>603909.73538274481</v>
      </c>
      <c r="O73" s="8">
        <f t="shared" ca="1" si="7"/>
        <v>2026739.1181619386</v>
      </c>
      <c r="P73" s="3">
        <f t="shared" ca="1" si="14"/>
        <v>1.261920777695797E-3</v>
      </c>
      <c r="Q73" s="3"/>
      <c r="R73" s="3"/>
      <c r="S73" s="3"/>
    </row>
    <row r="74" spans="1:19" x14ac:dyDescent="0.2">
      <c r="A74" s="43"/>
      <c r="B74" s="43"/>
      <c r="C74" s="3"/>
      <c r="D74" s="44">
        <f t="shared" si="15"/>
        <v>0</v>
      </c>
      <c r="E74" s="44">
        <f t="shared" si="15"/>
        <v>0</v>
      </c>
      <c r="F74" s="8">
        <f t="shared" si="8"/>
        <v>0</v>
      </c>
      <c r="G74" s="8">
        <f t="shared" si="9"/>
        <v>0</v>
      </c>
      <c r="H74" s="8">
        <f t="shared" si="10"/>
        <v>0</v>
      </c>
      <c r="I74" s="8">
        <f t="shared" si="11"/>
        <v>0</v>
      </c>
      <c r="J74" s="8">
        <f t="shared" si="12"/>
        <v>0</v>
      </c>
      <c r="K74" s="8">
        <f t="shared" ca="1" si="16"/>
        <v>-1.261920777695797E-3</v>
      </c>
      <c r="L74" s="8">
        <f t="shared" ca="1" si="13"/>
        <v>1.5924440491803651E-6</v>
      </c>
      <c r="M74" s="8">
        <f t="shared" ca="1" si="5"/>
        <v>45104787.429188266</v>
      </c>
      <c r="N74" s="8">
        <f t="shared" ca="1" si="6"/>
        <v>603909.73538274481</v>
      </c>
      <c r="O74" s="8">
        <f t="shared" ca="1" si="7"/>
        <v>2026739.1181619386</v>
      </c>
      <c r="P74" s="3">
        <f t="shared" ca="1" si="14"/>
        <v>1.261920777695797E-3</v>
      </c>
      <c r="Q74" s="3"/>
      <c r="R74" s="3"/>
      <c r="S74" s="3"/>
    </row>
    <row r="75" spans="1:19" x14ac:dyDescent="0.2">
      <c r="A75" s="43"/>
      <c r="B75" s="43"/>
      <c r="C75" s="3"/>
      <c r="D75" s="44">
        <f t="shared" si="15"/>
        <v>0</v>
      </c>
      <c r="E75" s="44">
        <f t="shared" si="15"/>
        <v>0</v>
      </c>
      <c r="F75" s="8">
        <f t="shared" si="8"/>
        <v>0</v>
      </c>
      <c r="G75" s="8">
        <f t="shared" si="9"/>
        <v>0</v>
      </c>
      <c r="H75" s="8">
        <f t="shared" si="10"/>
        <v>0</v>
      </c>
      <c r="I75" s="8">
        <f t="shared" si="11"/>
        <v>0</v>
      </c>
      <c r="J75" s="8">
        <f t="shared" si="12"/>
        <v>0</v>
      </c>
      <c r="K75" s="8">
        <f t="shared" ca="1" si="16"/>
        <v>-1.261920777695797E-3</v>
      </c>
      <c r="L75" s="8">
        <f t="shared" ca="1" si="13"/>
        <v>1.5924440491803651E-6</v>
      </c>
      <c r="M75" s="8">
        <f t="shared" ca="1" si="5"/>
        <v>45104787.429188266</v>
      </c>
      <c r="N75" s="8">
        <f t="shared" ca="1" si="6"/>
        <v>603909.73538274481</v>
      </c>
      <c r="O75" s="8">
        <f t="shared" ca="1" si="7"/>
        <v>2026739.1181619386</v>
      </c>
      <c r="P75" s="3">
        <f t="shared" ca="1" si="14"/>
        <v>1.261920777695797E-3</v>
      </c>
      <c r="Q75" s="3"/>
      <c r="R75" s="3"/>
      <c r="S75" s="3"/>
    </row>
    <row r="76" spans="1:19" x14ac:dyDescent="0.2">
      <c r="A76" s="43"/>
      <c r="B76" s="43"/>
      <c r="C76" s="3"/>
      <c r="D76" s="44">
        <f t="shared" si="15"/>
        <v>0</v>
      </c>
      <c r="E76" s="44">
        <f t="shared" si="15"/>
        <v>0</v>
      </c>
      <c r="F76" s="8">
        <f t="shared" si="8"/>
        <v>0</v>
      </c>
      <c r="G76" s="8">
        <f t="shared" si="9"/>
        <v>0</v>
      </c>
      <c r="H76" s="8">
        <f t="shared" si="10"/>
        <v>0</v>
      </c>
      <c r="I76" s="8">
        <f t="shared" si="11"/>
        <v>0</v>
      </c>
      <c r="J76" s="8">
        <f t="shared" si="12"/>
        <v>0</v>
      </c>
      <c r="K76" s="8">
        <f t="shared" ca="1" si="16"/>
        <v>-1.261920777695797E-3</v>
      </c>
      <c r="L76" s="8">
        <f t="shared" ca="1" si="13"/>
        <v>1.5924440491803651E-6</v>
      </c>
      <c r="M76" s="8">
        <f t="shared" ca="1" si="5"/>
        <v>45104787.429188266</v>
      </c>
      <c r="N76" s="8">
        <f t="shared" ca="1" si="6"/>
        <v>603909.73538274481</v>
      </c>
      <c r="O76" s="8">
        <f t="shared" ca="1" si="7"/>
        <v>2026739.1181619386</v>
      </c>
      <c r="P76" s="3">
        <f t="shared" ca="1" si="14"/>
        <v>1.261920777695797E-3</v>
      </c>
      <c r="Q76" s="3"/>
      <c r="R76" s="3"/>
      <c r="S76" s="3"/>
    </row>
    <row r="77" spans="1:19" x14ac:dyDescent="0.2">
      <c r="A77" s="43"/>
      <c r="B77" s="43"/>
      <c r="C77" s="3"/>
      <c r="D77" s="44">
        <f t="shared" si="15"/>
        <v>0</v>
      </c>
      <c r="E77" s="44">
        <f t="shared" si="15"/>
        <v>0</v>
      </c>
      <c r="F77" s="8">
        <f t="shared" si="8"/>
        <v>0</v>
      </c>
      <c r="G77" s="8">
        <f t="shared" si="9"/>
        <v>0</v>
      </c>
      <c r="H77" s="8">
        <f t="shared" si="10"/>
        <v>0</v>
      </c>
      <c r="I77" s="8">
        <f t="shared" si="11"/>
        <v>0</v>
      </c>
      <c r="J77" s="8">
        <f t="shared" si="12"/>
        <v>0</v>
      </c>
      <c r="K77" s="8">
        <f t="shared" ca="1" si="16"/>
        <v>-1.261920777695797E-3</v>
      </c>
      <c r="L77" s="8">
        <f t="shared" ca="1" si="13"/>
        <v>1.5924440491803651E-6</v>
      </c>
      <c r="M77" s="8">
        <f t="shared" ca="1" si="5"/>
        <v>45104787.429188266</v>
      </c>
      <c r="N77" s="8">
        <f t="shared" ca="1" si="6"/>
        <v>603909.73538274481</v>
      </c>
      <c r="O77" s="8">
        <f t="shared" ca="1" si="7"/>
        <v>2026739.1181619386</v>
      </c>
      <c r="P77" s="3">
        <f t="shared" ca="1" si="14"/>
        <v>1.261920777695797E-3</v>
      </c>
      <c r="Q77" s="3"/>
      <c r="R77" s="3"/>
      <c r="S77" s="3"/>
    </row>
    <row r="78" spans="1:19" x14ac:dyDescent="0.2">
      <c r="A78" s="43"/>
      <c r="B78" s="43"/>
      <c r="C78" s="3"/>
      <c r="D78" s="44">
        <f t="shared" si="15"/>
        <v>0</v>
      </c>
      <c r="E78" s="44">
        <f t="shared" si="15"/>
        <v>0</v>
      </c>
      <c r="F78" s="8">
        <f t="shared" si="8"/>
        <v>0</v>
      </c>
      <c r="G78" s="8">
        <f t="shared" si="9"/>
        <v>0</v>
      </c>
      <c r="H78" s="8">
        <f t="shared" si="10"/>
        <v>0</v>
      </c>
      <c r="I78" s="8">
        <f t="shared" si="11"/>
        <v>0</v>
      </c>
      <c r="J78" s="8">
        <f t="shared" si="12"/>
        <v>0</v>
      </c>
      <c r="K78" s="8">
        <f t="shared" ca="1" si="16"/>
        <v>-1.261920777695797E-3</v>
      </c>
      <c r="L78" s="8">
        <f t="shared" ca="1" si="13"/>
        <v>1.5924440491803651E-6</v>
      </c>
      <c r="M78" s="8">
        <f t="shared" ca="1" si="5"/>
        <v>45104787.429188266</v>
      </c>
      <c r="N78" s="8">
        <f t="shared" ca="1" si="6"/>
        <v>603909.73538274481</v>
      </c>
      <c r="O78" s="8">
        <f t="shared" ca="1" si="7"/>
        <v>2026739.1181619386</v>
      </c>
      <c r="P78" s="3">
        <f t="shared" ca="1" si="14"/>
        <v>1.261920777695797E-3</v>
      </c>
      <c r="Q78" s="3"/>
      <c r="R78" s="3"/>
      <c r="S78" s="3"/>
    </row>
    <row r="79" spans="1:19" x14ac:dyDescent="0.2">
      <c r="A79" s="43"/>
      <c r="B79" s="43"/>
      <c r="C79" s="3"/>
      <c r="D79" s="44">
        <f t="shared" si="15"/>
        <v>0</v>
      </c>
      <c r="E79" s="44">
        <f t="shared" si="15"/>
        <v>0</v>
      </c>
      <c r="F79" s="8">
        <f t="shared" si="8"/>
        <v>0</v>
      </c>
      <c r="G79" s="8">
        <f t="shared" si="9"/>
        <v>0</v>
      </c>
      <c r="H79" s="8">
        <f t="shared" si="10"/>
        <v>0</v>
      </c>
      <c r="I79" s="8">
        <f t="shared" si="11"/>
        <v>0</v>
      </c>
      <c r="J79" s="8">
        <f t="shared" si="12"/>
        <v>0</v>
      </c>
      <c r="K79" s="8">
        <f t="shared" ca="1" si="16"/>
        <v>-1.261920777695797E-3</v>
      </c>
      <c r="L79" s="8">
        <f t="shared" ca="1" si="13"/>
        <v>1.5924440491803651E-6</v>
      </c>
      <c r="M79" s="8">
        <f t="shared" ca="1" si="5"/>
        <v>45104787.429188266</v>
      </c>
      <c r="N79" s="8">
        <f t="shared" ca="1" si="6"/>
        <v>603909.73538274481</v>
      </c>
      <c r="O79" s="8">
        <f t="shared" ca="1" si="7"/>
        <v>2026739.1181619386</v>
      </c>
      <c r="P79" s="3">
        <f t="shared" ca="1" si="14"/>
        <v>1.261920777695797E-3</v>
      </c>
      <c r="Q79" s="3"/>
      <c r="R79" s="3"/>
      <c r="S79" s="3"/>
    </row>
    <row r="80" spans="1:19" x14ac:dyDescent="0.2">
      <c r="A80" s="43"/>
      <c r="B80" s="43"/>
      <c r="C80" s="3"/>
      <c r="D80" s="44">
        <f t="shared" si="15"/>
        <v>0</v>
      </c>
      <c r="E80" s="44">
        <f t="shared" si="15"/>
        <v>0</v>
      </c>
      <c r="F80" s="8">
        <f t="shared" si="8"/>
        <v>0</v>
      </c>
      <c r="G80" s="8">
        <f t="shared" si="9"/>
        <v>0</v>
      </c>
      <c r="H80" s="8">
        <f t="shared" si="10"/>
        <v>0</v>
      </c>
      <c r="I80" s="8">
        <f t="shared" si="11"/>
        <v>0</v>
      </c>
      <c r="J80" s="8">
        <f t="shared" si="12"/>
        <v>0</v>
      </c>
      <c r="K80" s="8">
        <f t="shared" ca="1" si="16"/>
        <v>-1.261920777695797E-3</v>
      </c>
      <c r="L80" s="8">
        <f t="shared" ca="1" si="13"/>
        <v>1.5924440491803651E-6</v>
      </c>
      <c r="M80" s="8">
        <f t="shared" ca="1" si="5"/>
        <v>45104787.429188266</v>
      </c>
      <c r="N80" s="8">
        <f t="shared" ca="1" si="6"/>
        <v>603909.73538274481</v>
      </c>
      <c r="O80" s="8">
        <f t="shared" ca="1" si="7"/>
        <v>2026739.1181619386</v>
      </c>
      <c r="P80" s="3">
        <f t="shared" ca="1" si="14"/>
        <v>1.261920777695797E-3</v>
      </c>
      <c r="Q80" s="3"/>
      <c r="R80" s="3"/>
      <c r="S80" s="3"/>
    </row>
    <row r="81" spans="1:19" x14ac:dyDescent="0.2">
      <c r="A81" s="43"/>
      <c r="B81" s="43"/>
      <c r="C81" s="3"/>
      <c r="D81" s="44">
        <f t="shared" si="15"/>
        <v>0</v>
      </c>
      <c r="E81" s="44">
        <f t="shared" si="15"/>
        <v>0</v>
      </c>
      <c r="F81" s="8">
        <f t="shared" si="8"/>
        <v>0</v>
      </c>
      <c r="G81" s="8">
        <f t="shared" si="9"/>
        <v>0</v>
      </c>
      <c r="H81" s="8">
        <f t="shared" si="10"/>
        <v>0</v>
      </c>
      <c r="I81" s="8">
        <f t="shared" si="11"/>
        <v>0</v>
      </c>
      <c r="J81" s="8">
        <f t="shared" si="12"/>
        <v>0</v>
      </c>
      <c r="K81" s="8">
        <f t="shared" ca="1" si="16"/>
        <v>-1.261920777695797E-3</v>
      </c>
      <c r="L81" s="8">
        <f t="shared" ca="1" si="13"/>
        <v>1.5924440491803651E-6</v>
      </c>
      <c r="M81" s="8">
        <f t="shared" ca="1" si="5"/>
        <v>45104787.429188266</v>
      </c>
      <c r="N81" s="8">
        <f t="shared" ca="1" si="6"/>
        <v>603909.73538274481</v>
      </c>
      <c r="O81" s="8">
        <f t="shared" ca="1" si="7"/>
        <v>2026739.1181619386</v>
      </c>
      <c r="P81" s="3">
        <f t="shared" ca="1" si="14"/>
        <v>1.261920777695797E-3</v>
      </c>
      <c r="Q81" s="3"/>
      <c r="R81" s="3"/>
      <c r="S81" s="3"/>
    </row>
    <row r="82" spans="1:19" x14ac:dyDescent="0.2">
      <c r="A82" s="43"/>
      <c r="B82" s="43"/>
      <c r="C82" s="3"/>
      <c r="D82" s="44">
        <f t="shared" si="15"/>
        <v>0</v>
      </c>
      <c r="E82" s="44">
        <f t="shared" si="15"/>
        <v>0</v>
      </c>
      <c r="F82" s="8">
        <f t="shared" si="8"/>
        <v>0</v>
      </c>
      <c r="G82" s="8">
        <f t="shared" si="9"/>
        <v>0</v>
      </c>
      <c r="H82" s="8">
        <f t="shared" si="10"/>
        <v>0</v>
      </c>
      <c r="I82" s="8">
        <f t="shared" si="11"/>
        <v>0</v>
      </c>
      <c r="J82" s="8">
        <f t="shared" si="12"/>
        <v>0</v>
      </c>
      <c r="K82" s="8">
        <f t="shared" ca="1" si="16"/>
        <v>-1.261920777695797E-3</v>
      </c>
      <c r="L82" s="8">
        <f t="shared" ca="1" si="13"/>
        <v>1.5924440491803651E-6</v>
      </c>
      <c r="M82" s="8">
        <f t="shared" ca="1" si="5"/>
        <v>45104787.429188266</v>
      </c>
      <c r="N82" s="8">
        <f t="shared" ca="1" si="6"/>
        <v>603909.73538274481</v>
      </c>
      <c r="O82" s="8">
        <f t="shared" ca="1" si="7"/>
        <v>2026739.1181619386</v>
      </c>
      <c r="P82" s="3">
        <f t="shared" ca="1" si="14"/>
        <v>1.261920777695797E-3</v>
      </c>
      <c r="Q82" s="3"/>
      <c r="R82" s="3"/>
      <c r="S82" s="3"/>
    </row>
    <row r="83" spans="1:19" x14ac:dyDescent="0.2">
      <c r="A83" s="43"/>
      <c r="B83" s="43"/>
      <c r="C83" s="3"/>
      <c r="D83" s="44">
        <f t="shared" si="15"/>
        <v>0</v>
      </c>
      <c r="E83" s="44">
        <f t="shared" si="15"/>
        <v>0</v>
      </c>
      <c r="F83" s="8">
        <f t="shared" si="8"/>
        <v>0</v>
      </c>
      <c r="G83" s="8">
        <f t="shared" si="9"/>
        <v>0</v>
      </c>
      <c r="H83" s="8">
        <f t="shared" si="10"/>
        <v>0</v>
      </c>
      <c r="I83" s="8">
        <f t="shared" si="11"/>
        <v>0</v>
      </c>
      <c r="J83" s="8">
        <f t="shared" si="12"/>
        <v>0</v>
      </c>
      <c r="K83" s="8">
        <f t="shared" ca="1" si="16"/>
        <v>-1.261920777695797E-3</v>
      </c>
      <c r="L83" s="8">
        <f t="shared" ca="1" si="13"/>
        <v>1.5924440491803651E-6</v>
      </c>
      <c r="M83" s="8">
        <f t="shared" ca="1" si="5"/>
        <v>45104787.429188266</v>
      </c>
      <c r="N83" s="8">
        <f t="shared" ca="1" si="6"/>
        <v>603909.73538274481</v>
      </c>
      <c r="O83" s="8">
        <f t="shared" ca="1" si="7"/>
        <v>2026739.1181619386</v>
      </c>
      <c r="P83" s="3">
        <f t="shared" ca="1" si="14"/>
        <v>1.261920777695797E-3</v>
      </c>
      <c r="Q83" s="3"/>
      <c r="R83" s="3"/>
      <c r="S83" s="3"/>
    </row>
    <row r="84" spans="1:19" x14ac:dyDescent="0.2">
      <c r="A84" s="43"/>
      <c r="B84" s="43"/>
      <c r="C84" s="3"/>
      <c r="D84" s="44">
        <f t="shared" ref="D84:E115" si="17">A84/A$18</f>
        <v>0</v>
      </c>
      <c r="E84" s="44">
        <f t="shared" si="17"/>
        <v>0</v>
      </c>
      <c r="F84" s="8">
        <f t="shared" si="8"/>
        <v>0</v>
      </c>
      <c r="G84" s="8">
        <f t="shared" si="9"/>
        <v>0</v>
      </c>
      <c r="H84" s="8">
        <f t="shared" si="10"/>
        <v>0</v>
      </c>
      <c r="I84" s="8">
        <f t="shared" si="11"/>
        <v>0</v>
      </c>
      <c r="J84" s="8">
        <f t="shared" si="12"/>
        <v>0</v>
      </c>
      <c r="K84" s="8">
        <f t="shared" ca="1" si="16"/>
        <v>-1.261920777695797E-3</v>
      </c>
      <c r="L84" s="8">
        <f t="shared" ca="1" si="13"/>
        <v>1.5924440491803651E-6</v>
      </c>
      <c r="M84" s="8">
        <f t="shared" ref="M84:M144" ca="1" si="18">(M$1-M$2*D84+M$3*F84)^2</f>
        <v>45104787.429188266</v>
      </c>
      <c r="N84" s="8">
        <f t="shared" ref="N84:N144" ca="1" si="19">(-M$2+M$4*D84-M$5*F84)^2</f>
        <v>603909.73538274481</v>
      </c>
      <c r="O84" s="8">
        <f t="shared" ref="O84:O144" ca="1" si="20">+(M$3-D84*M$5+F84*M$6)^2</f>
        <v>2026739.1181619386</v>
      </c>
      <c r="P84" s="3">
        <f t="shared" ca="1" si="14"/>
        <v>1.261920777695797E-3</v>
      </c>
      <c r="Q84" s="3"/>
      <c r="R84" s="3"/>
      <c r="S84" s="3"/>
    </row>
    <row r="85" spans="1:19" x14ac:dyDescent="0.2">
      <c r="A85" s="43"/>
      <c r="B85" s="43"/>
      <c r="C85" s="3"/>
      <c r="D85" s="44">
        <f t="shared" si="17"/>
        <v>0</v>
      </c>
      <c r="E85" s="44">
        <f t="shared" si="17"/>
        <v>0</v>
      </c>
      <c r="F85" s="8">
        <f t="shared" ref="F85:F144" si="21">D85*D85</f>
        <v>0</v>
      </c>
      <c r="G85" s="8">
        <f t="shared" ref="G85:G144" si="22">D85*F85</f>
        <v>0</v>
      </c>
      <c r="H85" s="8">
        <f t="shared" ref="H85:H144" si="23">F85*F85</f>
        <v>0</v>
      </c>
      <c r="I85" s="8">
        <f t="shared" ref="I85:I144" si="24">E85*D85</f>
        <v>0</v>
      </c>
      <c r="J85" s="8">
        <f t="shared" ref="J85:J144" si="25">I85*D85</f>
        <v>0</v>
      </c>
      <c r="K85" s="8">
        <f t="shared" ref="K85:K116" ca="1" si="26">+E$4+E$5*D85+E$6*D85^2</f>
        <v>-1.261920777695797E-3</v>
      </c>
      <c r="L85" s="8">
        <f t="shared" ref="L85:L144" ca="1" si="27">+(K85-E85)^2</f>
        <v>1.5924440491803651E-6</v>
      </c>
      <c r="M85" s="8">
        <f t="shared" ca="1" si="18"/>
        <v>45104787.429188266</v>
      </c>
      <c r="N85" s="8">
        <f t="shared" ca="1" si="19"/>
        <v>603909.73538274481</v>
      </c>
      <c r="O85" s="8">
        <f t="shared" ca="1" si="20"/>
        <v>2026739.1181619386</v>
      </c>
      <c r="P85" s="3">
        <f t="shared" ref="P85:P144" ca="1" si="28">+E85-K85</f>
        <v>1.261920777695797E-3</v>
      </c>
      <c r="Q85" s="3"/>
      <c r="R85" s="3"/>
      <c r="S85" s="3"/>
    </row>
    <row r="86" spans="1:19" x14ac:dyDescent="0.2">
      <c r="A86" s="43"/>
      <c r="B86" s="43"/>
      <c r="C86" s="3"/>
      <c r="D86" s="44">
        <f t="shared" si="17"/>
        <v>0</v>
      </c>
      <c r="E86" s="44">
        <f t="shared" si="17"/>
        <v>0</v>
      </c>
      <c r="F86" s="8">
        <f t="shared" si="21"/>
        <v>0</v>
      </c>
      <c r="G86" s="8">
        <f t="shared" si="22"/>
        <v>0</v>
      </c>
      <c r="H86" s="8">
        <f t="shared" si="23"/>
        <v>0</v>
      </c>
      <c r="I86" s="8">
        <f t="shared" si="24"/>
        <v>0</v>
      </c>
      <c r="J86" s="8">
        <f t="shared" si="25"/>
        <v>0</v>
      </c>
      <c r="K86" s="8">
        <f t="shared" ca="1" si="26"/>
        <v>-1.261920777695797E-3</v>
      </c>
      <c r="L86" s="8">
        <f t="shared" ca="1" si="27"/>
        <v>1.5924440491803651E-6</v>
      </c>
      <c r="M86" s="8">
        <f t="shared" ca="1" si="18"/>
        <v>45104787.429188266</v>
      </c>
      <c r="N86" s="8">
        <f t="shared" ca="1" si="19"/>
        <v>603909.73538274481</v>
      </c>
      <c r="O86" s="8">
        <f t="shared" ca="1" si="20"/>
        <v>2026739.1181619386</v>
      </c>
      <c r="P86" s="3">
        <f t="shared" ca="1" si="28"/>
        <v>1.261920777695797E-3</v>
      </c>
      <c r="Q86" s="3"/>
      <c r="R86" s="3"/>
      <c r="S86" s="3"/>
    </row>
    <row r="87" spans="1:19" x14ac:dyDescent="0.2">
      <c r="A87" s="43"/>
      <c r="B87" s="43"/>
      <c r="C87" s="3"/>
      <c r="D87" s="44">
        <f t="shared" si="17"/>
        <v>0</v>
      </c>
      <c r="E87" s="44">
        <f t="shared" si="17"/>
        <v>0</v>
      </c>
      <c r="F87" s="8">
        <f t="shared" si="21"/>
        <v>0</v>
      </c>
      <c r="G87" s="8">
        <f t="shared" si="22"/>
        <v>0</v>
      </c>
      <c r="H87" s="8">
        <f t="shared" si="23"/>
        <v>0</v>
      </c>
      <c r="I87" s="8">
        <f t="shared" si="24"/>
        <v>0</v>
      </c>
      <c r="J87" s="8">
        <f t="shared" si="25"/>
        <v>0</v>
      </c>
      <c r="K87" s="8">
        <f t="shared" ca="1" si="26"/>
        <v>-1.261920777695797E-3</v>
      </c>
      <c r="L87" s="8">
        <f t="shared" ca="1" si="27"/>
        <v>1.5924440491803651E-6</v>
      </c>
      <c r="M87" s="8">
        <f t="shared" ca="1" si="18"/>
        <v>45104787.429188266</v>
      </c>
      <c r="N87" s="8">
        <f t="shared" ca="1" si="19"/>
        <v>603909.73538274481</v>
      </c>
      <c r="O87" s="8">
        <f t="shared" ca="1" si="20"/>
        <v>2026739.1181619386</v>
      </c>
      <c r="P87" s="3">
        <f t="shared" ca="1" si="28"/>
        <v>1.261920777695797E-3</v>
      </c>
      <c r="Q87" s="3"/>
      <c r="R87" s="3"/>
      <c r="S87" s="3"/>
    </row>
    <row r="88" spans="1:19" x14ac:dyDescent="0.2">
      <c r="A88" s="43"/>
      <c r="B88" s="43"/>
      <c r="C88" s="3"/>
      <c r="D88" s="44">
        <f t="shared" si="17"/>
        <v>0</v>
      </c>
      <c r="E88" s="44">
        <f t="shared" si="17"/>
        <v>0</v>
      </c>
      <c r="F88" s="8">
        <f t="shared" si="21"/>
        <v>0</v>
      </c>
      <c r="G88" s="8">
        <f t="shared" si="22"/>
        <v>0</v>
      </c>
      <c r="H88" s="8">
        <f t="shared" si="23"/>
        <v>0</v>
      </c>
      <c r="I88" s="8">
        <f t="shared" si="24"/>
        <v>0</v>
      </c>
      <c r="J88" s="8">
        <f t="shared" si="25"/>
        <v>0</v>
      </c>
      <c r="K88" s="8">
        <f t="shared" ca="1" si="26"/>
        <v>-1.261920777695797E-3</v>
      </c>
      <c r="L88" s="8">
        <f t="shared" ca="1" si="27"/>
        <v>1.5924440491803651E-6</v>
      </c>
      <c r="M88" s="8">
        <f t="shared" ca="1" si="18"/>
        <v>45104787.429188266</v>
      </c>
      <c r="N88" s="8">
        <f t="shared" ca="1" si="19"/>
        <v>603909.73538274481</v>
      </c>
      <c r="O88" s="8">
        <f t="shared" ca="1" si="20"/>
        <v>2026739.1181619386</v>
      </c>
      <c r="P88" s="3">
        <f t="shared" ca="1" si="28"/>
        <v>1.261920777695797E-3</v>
      </c>
      <c r="Q88" s="3"/>
      <c r="R88" s="3"/>
      <c r="S88" s="3"/>
    </row>
    <row r="89" spans="1:19" x14ac:dyDescent="0.2">
      <c r="A89" s="43"/>
      <c r="B89" s="43"/>
      <c r="C89" s="3"/>
      <c r="D89" s="44">
        <f t="shared" si="17"/>
        <v>0</v>
      </c>
      <c r="E89" s="44">
        <f t="shared" si="17"/>
        <v>0</v>
      </c>
      <c r="F89" s="8">
        <f t="shared" si="21"/>
        <v>0</v>
      </c>
      <c r="G89" s="8">
        <f t="shared" si="22"/>
        <v>0</v>
      </c>
      <c r="H89" s="8">
        <f t="shared" si="23"/>
        <v>0</v>
      </c>
      <c r="I89" s="8">
        <f t="shared" si="24"/>
        <v>0</v>
      </c>
      <c r="J89" s="8">
        <f t="shared" si="25"/>
        <v>0</v>
      </c>
      <c r="K89" s="8">
        <f t="shared" ca="1" si="26"/>
        <v>-1.261920777695797E-3</v>
      </c>
      <c r="L89" s="8">
        <f t="shared" ca="1" si="27"/>
        <v>1.5924440491803651E-6</v>
      </c>
      <c r="M89" s="8">
        <f t="shared" ca="1" si="18"/>
        <v>45104787.429188266</v>
      </c>
      <c r="N89" s="8">
        <f t="shared" ca="1" si="19"/>
        <v>603909.73538274481</v>
      </c>
      <c r="O89" s="8">
        <f t="shared" ca="1" si="20"/>
        <v>2026739.1181619386</v>
      </c>
      <c r="P89" s="3">
        <f t="shared" ca="1" si="28"/>
        <v>1.261920777695797E-3</v>
      </c>
      <c r="Q89" s="3"/>
      <c r="R89" s="3"/>
      <c r="S89" s="3"/>
    </row>
    <row r="90" spans="1:19" x14ac:dyDescent="0.2">
      <c r="A90" s="43"/>
      <c r="B90" s="43"/>
      <c r="C90" s="3"/>
      <c r="D90" s="44">
        <f t="shared" si="17"/>
        <v>0</v>
      </c>
      <c r="E90" s="44">
        <f t="shared" si="17"/>
        <v>0</v>
      </c>
      <c r="F90" s="8">
        <f t="shared" si="21"/>
        <v>0</v>
      </c>
      <c r="G90" s="8">
        <f t="shared" si="22"/>
        <v>0</v>
      </c>
      <c r="H90" s="8">
        <f t="shared" si="23"/>
        <v>0</v>
      </c>
      <c r="I90" s="8">
        <f t="shared" si="24"/>
        <v>0</v>
      </c>
      <c r="J90" s="8">
        <f t="shared" si="25"/>
        <v>0</v>
      </c>
      <c r="K90" s="8">
        <f t="shared" ca="1" si="26"/>
        <v>-1.261920777695797E-3</v>
      </c>
      <c r="L90" s="8">
        <f t="shared" ca="1" si="27"/>
        <v>1.5924440491803651E-6</v>
      </c>
      <c r="M90" s="8">
        <f t="shared" ca="1" si="18"/>
        <v>45104787.429188266</v>
      </c>
      <c r="N90" s="8">
        <f t="shared" ca="1" si="19"/>
        <v>603909.73538274481</v>
      </c>
      <c r="O90" s="8">
        <f t="shared" ca="1" si="20"/>
        <v>2026739.1181619386</v>
      </c>
      <c r="P90" s="3">
        <f t="shared" ca="1" si="28"/>
        <v>1.261920777695797E-3</v>
      </c>
      <c r="Q90" s="3"/>
      <c r="R90" s="3"/>
      <c r="S90" s="3"/>
    </row>
    <row r="91" spans="1:19" x14ac:dyDescent="0.2">
      <c r="A91" s="43"/>
      <c r="B91" s="43"/>
      <c r="C91" s="3"/>
      <c r="D91" s="44">
        <f t="shared" si="17"/>
        <v>0</v>
      </c>
      <c r="E91" s="44">
        <f t="shared" si="17"/>
        <v>0</v>
      </c>
      <c r="F91" s="8">
        <f t="shared" si="21"/>
        <v>0</v>
      </c>
      <c r="G91" s="8">
        <f t="shared" si="22"/>
        <v>0</v>
      </c>
      <c r="H91" s="8">
        <f t="shared" si="23"/>
        <v>0</v>
      </c>
      <c r="I91" s="8">
        <f t="shared" si="24"/>
        <v>0</v>
      </c>
      <c r="J91" s="8">
        <f t="shared" si="25"/>
        <v>0</v>
      </c>
      <c r="K91" s="8">
        <f t="shared" ca="1" si="26"/>
        <v>-1.261920777695797E-3</v>
      </c>
      <c r="L91" s="8">
        <f t="shared" ca="1" si="27"/>
        <v>1.5924440491803651E-6</v>
      </c>
      <c r="M91" s="8">
        <f t="shared" ca="1" si="18"/>
        <v>45104787.429188266</v>
      </c>
      <c r="N91" s="8">
        <f t="shared" ca="1" si="19"/>
        <v>603909.73538274481</v>
      </c>
      <c r="O91" s="8">
        <f t="shared" ca="1" si="20"/>
        <v>2026739.1181619386</v>
      </c>
      <c r="P91" s="3">
        <f t="shared" ca="1" si="28"/>
        <v>1.261920777695797E-3</v>
      </c>
      <c r="Q91" s="3"/>
      <c r="R91" s="3"/>
      <c r="S91" s="3"/>
    </row>
    <row r="92" spans="1:19" x14ac:dyDescent="0.2">
      <c r="A92" s="43"/>
      <c r="B92" s="43"/>
      <c r="C92" s="3"/>
      <c r="D92" s="44">
        <f t="shared" si="17"/>
        <v>0</v>
      </c>
      <c r="E92" s="44">
        <f t="shared" si="17"/>
        <v>0</v>
      </c>
      <c r="F92" s="8">
        <f t="shared" si="21"/>
        <v>0</v>
      </c>
      <c r="G92" s="8">
        <f t="shared" si="22"/>
        <v>0</v>
      </c>
      <c r="H92" s="8">
        <f t="shared" si="23"/>
        <v>0</v>
      </c>
      <c r="I92" s="8">
        <f t="shared" si="24"/>
        <v>0</v>
      </c>
      <c r="J92" s="8">
        <f t="shared" si="25"/>
        <v>0</v>
      </c>
      <c r="K92" s="8">
        <f t="shared" ca="1" si="26"/>
        <v>-1.261920777695797E-3</v>
      </c>
      <c r="L92" s="8">
        <f t="shared" ca="1" si="27"/>
        <v>1.5924440491803651E-6</v>
      </c>
      <c r="M92" s="8">
        <f t="shared" ca="1" si="18"/>
        <v>45104787.429188266</v>
      </c>
      <c r="N92" s="8">
        <f t="shared" ca="1" si="19"/>
        <v>603909.73538274481</v>
      </c>
      <c r="O92" s="8">
        <f t="shared" ca="1" si="20"/>
        <v>2026739.1181619386</v>
      </c>
      <c r="P92" s="3">
        <f t="shared" ca="1" si="28"/>
        <v>1.261920777695797E-3</v>
      </c>
      <c r="Q92" s="3"/>
      <c r="R92" s="3"/>
      <c r="S92" s="3"/>
    </row>
    <row r="93" spans="1:19" x14ac:dyDescent="0.2">
      <c r="A93" s="43"/>
      <c r="B93" s="43"/>
      <c r="C93" s="3"/>
      <c r="D93" s="44">
        <f t="shared" si="17"/>
        <v>0</v>
      </c>
      <c r="E93" s="44">
        <f t="shared" si="17"/>
        <v>0</v>
      </c>
      <c r="F93" s="8">
        <f t="shared" si="21"/>
        <v>0</v>
      </c>
      <c r="G93" s="8">
        <f t="shared" si="22"/>
        <v>0</v>
      </c>
      <c r="H93" s="8">
        <f t="shared" si="23"/>
        <v>0</v>
      </c>
      <c r="I93" s="8">
        <f t="shared" si="24"/>
        <v>0</v>
      </c>
      <c r="J93" s="8">
        <f t="shared" si="25"/>
        <v>0</v>
      </c>
      <c r="K93" s="8">
        <f t="shared" ca="1" si="26"/>
        <v>-1.261920777695797E-3</v>
      </c>
      <c r="L93" s="8">
        <f t="shared" ca="1" si="27"/>
        <v>1.5924440491803651E-6</v>
      </c>
      <c r="M93" s="8">
        <f t="shared" ca="1" si="18"/>
        <v>45104787.429188266</v>
      </c>
      <c r="N93" s="8">
        <f t="shared" ca="1" si="19"/>
        <v>603909.73538274481</v>
      </c>
      <c r="O93" s="8">
        <f t="shared" ca="1" si="20"/>
        <v>2026739.1181619386</v>
      </c>
      <c r="P93" s="3">
        <f t="shared" ca="1" si="28"/>
        <v>1.261920777695797E-3</v>
      </c>
      <c r="Q93" s="3"/>
      <c r="R93" s="3"/>
      <c r="S93" s="3"/>
    </row>
    <row r="94" spans="1:19" x14ac:dyDescent="0.2">
      <c r="A94" s="43"/>
      <c r="B94" s="43"/>
      <c r="C94" s="3"/>
      <c r="D94" s="44">
        <f t="shared" si="17"/>
        <v>0</v>
      </c>
      <c r="E94" s="44">
        <f t="shared" si="17"/>
        <v>0</v>
      </c>
      <c r="F94" s="8">
        <f t="shared" si="21"/>
        <v>0</v>
      </c>
      <c r="G94" s="8">
        <f t="shared" si="22"/>
        <v>0</v>
      </c>
      <c r="H94" s="8">
        <f t="shared" si="23"/>
        <v>0</v>
      </c>
      <c r="I94" s="8">
        <f t="shared" si="24"/>
        <v>0</v>
      </c>
      <c r="J94" s="8">
        <f t="shared" si="25"/>
        <v>0</v>
      </c>
      <c r="K94" s="8">
        <f t="shared" ca="1" si="26"/>
        <v>-1.261920777695797E-3</v>
      </c>
      <c r="L94" s="8">
        <f t="shared" ca="1" si="27"/>
        <v>1.5924440491803651E-6</v>
      </c>
      <c r="M94" s="8">
        <f t="shared" ca="1" si="18"/>
        <v>45104787.429188266</v>
      </c>
      <c r="N94" s="8">
        <f t="shared" ca="1" si="19"/>
        <v>603909.73538274481</v>
      </c>
      <c r="O94" s="8">
        <f t="shared" ca="1" si="20"/>
        <v>2026739.1181619386</v>
      </c>
      <c r="P94" s="3">
        <f t="shared" ca="1" si="28"/>
        <v>1.261920777695797E-3</v>
      </c>
      <c r="Q94" s="3"/>
      <c r="R94" s="3"/>
      <c r="S94" s="3"/>
    </row>
    <row r="95" spans="1:19" x14ac:dyDescent="0.2">
      <c r="A95" s="43"/>
      <c r="B95" s="43"/>
      <c r="C95" s="3"/>
      <c r="D95" s="44">
        <f t="shared" si="17"/>
        <v>0</v>
      </c>
      <c r="E95" s="44">
        <f t="shared" si="17"/>
        <v>0</v>
      </c>
      <c r="F95" s="8">
        <f t="shared" si="21"/>
        <v>0</v>
      </c>
      <c r="G95" s="8">
        <f t="shared" si="22"/>
        <v>0</v>
      </c>
      <c r="H95" s="8">
        <f t="shared" si="23"/>
        <v>0</v>
      </c>
      <c r="I95" s="8">
        <f t="shared" si="24"/>
        <v>0</v>
      </c>
      <c r="J95" s="8">
        <f t="shared" si="25"/>
        <v>0</v>
      </c>
      <c r="K95" s="8">
        <f t="shared" ca="1" si="26"/>
        <v>-1.261920777695797E-3</v>
      </c>
      <c r="L95" s="8">
        <f t="shared" ca="1" si="27"/>
        <v>1.5924440491803651E-6</v>
      </c>
      <c r="M95" s="8">
        <f t="shared" ca="1" si="18"/>
        <v>45104787.429188266</v>
      </c>
      <c r="N95" s="8">
        <f t="shared" ca="1" si="19"/>
        <v>603909.73538274481</v>
      </c>
      <c r="O95" s="8">
        <f t="shared" ca="1" si="20"/>
        <v>2026739.1181619386</v>
      </c>
      <c r="P95" s="3">
        <f t="shared" ca="1" si="28"/>
        <v>1.261920777695797E-3</v>
      </c>
      <c r="Q95" s="3"/>
      <c r="R95" s="3"/>
      <c r="S95" s="3"/>
    </row>
    <row r="96" spans="1:19" x14ac:dyDescent="0.2">
      <c r="A96" s="43"/>
      <c r="B96" s="43"/>
      <c r="C96" s="3"/>
      <c r="D96" s="44">
        <f t="shared" si="17"/>
        <v>0</v>
      </c>
      <c r="E96" s="44">
        <f t="shared" si="17"/>
        <v>0</v>
      </c>
      <c r="F96" s="8">
        <f t="shared" si="21"/>
        <v>0</v>
      </c>
      <c r="G96" s="8">
        <f t="shared" si="22"/>
        <v>0</v>
      </c>
      <c r="H96" s="8">
        <f t="shared" si="23"/>
        <v>0</v>
      </c>
      <c r="I96" s="8">
        <f t="shared" si="24"/>
        <v>0</v>
      </c>
      <c r="J96" s="8">
        <f t="shared" si="25"/>
        <v>0</v>
      </c>
      <c r="K96" s="8">
        <f t="shared" ca="1" si="26"/>
        <v>-1.261920777695797E-3</v>
      </c>
      <c r="L96" s="8">
        <f t="shared" ca="1" si="27"/>
        <v>1.5924440491803651E-6</v>
      </c>
      <c r="M96" s="8">
        <f t="shared" ca="1" si="18"/>
        <v>45104787.429188266</v>
      </c>
      <c r="N96" s="8">
        <f t="shared" ca="1" si="19"/>
        <v>603909.73538274481</v>
      </c>
      <c r="O96" s="8">
        <f t="shared" ca="1" si="20"/>
        <v>2026739.1181619386</v>
      </c>
      <c r="P96" s="3">
        <f t="shared" ca="1" si="28"/>
        <v>1.261920777695797E-3</v>
      </c>
      <c r="Q96" s="3"/>
      <c r="R96" s="3"/>
      <c r="S96" s="3"/>
    </row>
    <row r="97" spans="1:19" x14ac:dyDescent="0.2">
      <c r="A97" s="43"/>
      <c r="B97" s="43"/>
      <c r="C97" s="3"/>
      <c r="D97" s="44">
        <f t="shared" si="17"/>
        <v>0</v>
      </c>
      <c r="E97" s="44">
        <f t="shared" si="17"/>
        <v>0</v>
      </c>
      <c r="F97" s="8">
        <f t="shared" si="21"/>
        <v>0</v>
      </c>
      <c r="G97" s="8">
        <f t="shared" si="22"/>
        <v>0</v>
      </c>
      <c r="H97" s="8">
        <f t="shared" si="23"/>
        <v>0</v>
      </c>
      <c r="I97" s="8">
        <f t="shared" si="24"/>
        <v>0</v>
      </c>
      <c r="J97" s="8">
        <f t="shared" si="25"/>
        <v>0</v>
      </c>
      <c r="K97" s="8">
        <f t="shared" ca="1" si="26"/>
        <v>-1.261920777695797E-3</v>
      </c>
      <c r="L97" s="8">
        <f t="shared" ca="1" si="27"/>
        <v>1.5924440491803651E-6</v>
      </c>
      <c r="M97" s="8">
        <f t="shared" ca="1" si="18"/>
        <v>45104787.429188266</v>
      </c>
      <c r="N97" s="8">
        <f t="shared" ca="1" si="19"/>
        <v>603909.73538274481</v>
      </c>
      <c r="O97" s="8">
        <f t="shared" ca="1" si="20"/>
        <v>2026739.1181619386</v>
      </c>
      <c r="P97" s="3">
        <f t="shared" ca="1" si="28"/>
        <v>1.261920777695797E-3</v>
      </c>
      <c r="Q97" s="3"/>
      <c r="R97" s="3"/>
      <c r="S97" s="3"/>
    </row>
    <row r="98" spans="1:19" x14ac:dyDescent="0.2">
      <c r="A98" s="43"/>
      <c r="B98" s="43"/>
      <c r="C98" s="3"/>
      <c r="D98" s="44">
        <f t="shared" si="17"/>
        <v>0</v>
      </c>
      <c r="E98" s="44">
        <f t="shared" si="17"/>
        <v>0</v>
      </c>
      <c r="F98" s="8">
        <f t="shared" si="21"/>
        <v>0</v>
      </c>
      <c r="G98" s="8">
        <f t="shared" si="22"/>
        <v>0</v>
      </c>
      <c r="H98" s="8">
        <f t="shared" si="23"/>
        <v>0</v>
      </c>
      <c r="I98" s="8">
        <f t="shared" si="24"/>
        <v>0</v>
      </c>
      <c r="J98" s="8">
        <f t="shared" si="25"/>
        <v>0</v>
      </c>
      <c r="K98" s="8">
        <f t="shared" ca="1" si="26"/>
        <v>-1.261920777695797E-3</v>
      </c>
      <c r="L98" s="8">
        <f t="shared" ca="1" si="27"/>
        <v>1.5924440491803651E-6</v>
      </c>
      <c r="M98" s="8">
        <f t="shared" ca="1" si="18"/>
        <v>45104787.429188266</v>
      </c>
      <c r="N98" s="8">
        <f t="shared" ca="1" si="19"/>
        <v>603909.73538274481</v>
      </c>
      <c r="O98" s="8">
        <f t="shared" ca="1" si="20"/>
        <v>2026739.1181619386</v>
      </c>
      <c r="P98" s="3">
        <f t="shared" ca="1" si="28"/>
        <v>1.261920777695797E-3</v>
      </c>
      <c r="Q98" s="3"/>
      <c r="R98" s="3"/>
      <c r="S98" s="3"/>
    </row>
    <row r="99" spans="1:19" x14ac:dyDescent="0.2">
      <c r="A99" s="43"/>
      <c r="B99" s="43"/>
      <c r="C99" s="3"/>
      <c r="D99" s="44">
        <f t="shared" si="17"/>
        <v>0</v>
      </c>
      <c r="E99" s="44">
        <f t="shared" si="17"/>
        <v>0</v>
      </c>
      <c r="F99" s="8">
        <f t="shared" si="21"/>
        <v>0</v>
      </c>
      <c r="G99" s="8">
        <f t="shared" si="22"/>
        <v>0</v>
      </c>
      <c r="H99" s="8">
        <f t="shared" si="23"/>
        <v>0</v>
      </c>
      <c r="I99" s="8">
        <f t="shared" si="24"/>
        <v>0</v>
      </c>
      <c r="J99" s="8">
        <f t="shared" si="25"/>
        <v>0</v>
      </c>
      <c r="K99" s="8">
        <f t="shared" ca="1" si="26"/>
        <v>-1.261920777695797E-3</v>
      </c>
      <c r="L99" s="8">
        <f t="shared" ca="1" si="27"/>
        <v>1.5924440491803651E-6</v>
      </c>
      <c r="M99" s="8">
        <f t="shared" ca="1" si="18"/>
        <v>45104787.429188266</v>
      </c>
      <c r="N99" s="8">
        <f t="shared" ca="1" si="19"/>
        <v>603909.73538274481</v>
      </c>
      <c r="O99" s="8">
        <f t="shared" ca="1" si="20"/>
        <v>2026739.1181619386</v>
      </c>
      <c r="P99" s="3">
        <f t="shared" ca="1" si="28"/>
        <v>1.261920777695797E-3</v>
      </c>
      <c r="Q99" s="3"/>
      <c r="R99" s="3"/>
      <c r="S99" s="3"/>
    </row>
    <row r="100" spans="1:19" x14ac:dyDescent="0.2">
      <c r="A100" s="43"/>
      <c r="B100" s="43"/>
      <c r="C100" s="3"/>
      <c r="D100" s="44">
        <f t="shared" si="17"/>
        <v>0</v>
      </c>
      <c r="E100" s="44">
        <f t="shared" si="17"/>
        <v>0</v>
      </c>
      <c r="F100" s="8">
        <f t="shared" si="21"/>
        <v>0</v>
      </c>
      <c r="G100" s="8">
        <f t="shared" si="22"/>
        <v>0</v>
      </c>
      <c r="H100" s="8">
        <f t="shared" si="23"/>
        <v>0</v>
      </c>
      <c r="I100" s="8">
        <f t="shared" si="24"/>
        <v>0</v>
      </c>
      <c r="J100" s="8">
        <f t="shared" si="25"/>
        <v>0</v>
      </c>
      <c r="K100" s="8">
        <f t="shared" ca="1" si="26"/>
        <v>-1.261920777695797E-3</v>
      </c>
      <c r="L100" s="8">
        <f t="shared" ca="1" si="27"/>
        <v>1.5924440491803651E-6</v>
      </c>
      <c r="M100" s="8">
        <f t="shared" ca="1" si="18"/>
        <v>45104787.429188266</v>
      </c>
      <c r="N100" s="8">
        <f t="shared" ca="1" si="19"/>
        <v>603909.73538274481</v>
      </c>
      <c r="O100" s="8">
        <f t="shared" ca="1" si="20"/>
        <v>2026739.1181619386</v>
      </c>
      <c r="P100" s="3">
        <f t="shared" ca="1" si="28"/>
        <v>1.261920777695797E-3</v>
      </c>
      <c r="Q100" s="3"/>
      <c r="R100" s="3"/>
      <c r="S100" s="3"/>
    </row>
    <row r="101" spans="1:19" x14ac:dyDescent="0.2">
      <c r="A101" s="43"/>
      <c r="B101" s="43"/>
      <c r="C101" s="3"/>
      <c r="D101" s="44">
        <f t="shared" si="17"/>
        <v>0</v>
      </c>
      <c r="E101" s="44">
        <f t="shared" si="17"/>
        <v>0</v>
      </c>
      <c r="F101" s="8">
        <f t="shared" si="21"/>
        <v>0</v>
      </c>
      <c r="G101" s="8">
        <f t="shared" si="22"/>
        <v>0</v>
      </c>
      <c r="H101" s="8">
        <f t="shared" si="23"/>
        <v>0</v>
      </c>
      <c r="I101" s="8">
        <f t="shared" si="24"/>
        <v>0</v>
      </c>
      <c r="J101" s="8">
        <f t="shared" si="25"/>
        <v>0</v>
      </c>
      <c r="K101" s="8">
        <f t="shared" ca="1" si="26"/>
        <v>-1.261920777695797E-3</v>
      </c>
      <c r="L101" s="8">
        <f t="shared" ca="1" si="27"/>
        <v>1.5924440491803651E-6</v>
      </c>
      <c r="M101" s="8">
        <f t="shared" ca="1" si="18"/>
        <v>45104787.429188266</v>
      </c>
      <c r="N101" s="8">
        <f t="shared" ca="1" si="19"/>
        <v>603909.73538274481</v>
      </c>
      <c r="O101" s="8">
        <f t="shared" ca="1" si="20"/>
        <v>2026739.1181619386</v>
      </c>
      <c r="P101" s="3">
        <f t="shared" ca="1" si="28"/>
        <v>1.261920777695797E-3</v>
      </c>
      <c r="Q101" s="3"/>
      <c r="R101" s="3"/>
      <c r="S101" s="3"/>
    </row>
    <row r="102" spans="1:19" x14ac:dyDescent="0.2">
      <c r="A102" s="43"/>
      <c r="B102" s="43"/>
      <c r="C102" s="3"/>
      <c r="D102" s="44">
        <f t="shared" si="17"/>
        <v>0</v>
      </c>
      <c r="E102" s="44">
        <f t="shared" si="17"/>
        <v>0</v>
      </c>
      <c r="F102" s="8">
        <f t="shared" si="21"/>
        <v>0</v>
      </c>
      <c r="G102" s="8">
        <f t="shared" si="22"/>
        <v>0</v>
      </c>
      <c r="H102" s="8">
        <f t="shared" si="23"/>
        <v>0</v>
      </c>
      <c r="I102" s="8">
        <f t="shared" si="24"/>
        <v>0</v>
      </c>
      <c r="J102" s="8">
        <f t="shared" si="25"/>
        <v>0</v>
      </c>
      <c r="K102" s="8">
        <f t="shared" ca="1" si="26"/>
        <v>-1.261920777695797E-3</v>
      </c>
      <c r="L102" s="8">
        <f t="shared" ca="1" si="27"/>
        <v>1.5924440491803651E-6</v>
      </c>
      <c r="M102" s="8">
        <f t="shared" ca="1" si="18"/>
        <v>45104787.429188266</v>
      </c>
      <c r="N102" s="8">
        <f t="shared" ca="1" si="19"/>
        <v>603909.73538274481</v>
      </c>
      <c r="O102" s="8">
        <f t="shared" ca="1" si="20"/>
        <v>2026739.1181619386</v>
      </c>
      <c r="P102" s="3">
        <f t="shared" ca="1" si="28"/>
        <v>1.261920777695797E-3</v>
      </c>
      <c r="Q102" s="3"/>
      <c r="R102" s="3"/>
      <c r="S102" s="3"/>
    </row>
    <row r="103" spans="1:19" x14ac:dyDescent="0.2">
      <c r="A103" s="43"/>
      <c r="B103" s="43"/>
      <c r="C103" s="3"/>
      <c r="D103" s="44">
        <f t="shared" si="17"/>
        <v>0</v>
      </c>
      <c r="E103" s="44">
        <f t="shared" si="17"/>
        <v>0</v>
      </c>
      <c r="F103" s="8">
        <f t="shared" si="21"/>
        <v>0</v>
      </c>
      <c r="G103" s="8">
        <f t="shared" si="22"/>
        <v>0</v>
      </c>
      <c r="H103" s="8">
        <f t="shared" si="23"/>
        <v>0</v>
      </c>
      <c r="I103" s="8">
        <f t="shared" si="24"/>
        <v>0</v>
      </c>
      <c r="J103" s="8">
        <f t="shared" si="25"/>
        <v>0</v>
      </c>
      <c r="K103" s="8">
        <f t="shared" ca="1" si="26"/>
        <v>-1.261920777695797E-3</v>
      </c>
      <c r="L103" s="8">
        <f t="shared" ca="1" si="27"/>
        <v>1.5924440491803651E-6</v>
      </c>
      <c r="M103" s="8">
        <f t="shared" ca="1" si="18"/>
        <v>45104787.429188266</v>
      </c>
      <c r="N103" s="8">
        <f t="shared" ca="1" si="19"/>
        <v>603909.73538274481</v>
      </c>
      <c r="O103" s="8">
        <f t="shared" ca="1" si="20"/>
        <v>2026739.1181619386</v>
      </c>
      <c r="P103" s="3">
        <f t="shared" ca="1" si="28"/>
        <v>1.261920777695797E-3</v>
      </c>
      <c r="Q103" s="3"/>
      <c r="R103" s="3"/>
      <c r="S103" s="3"/>
    </row>
    <row r="104" spans="1:19" x14ac:dyDescent="0.2">
      <c r="A104" s="43"/>
      <c r="B104" s="43"/>
      <c r="C104" s="3"/>
      <c r="D104" s="44">
        <f t="shared" si="17"/>
        <v>0</v>
      </c>
      <c r="E104" s="44">
        <f t="shared" si="17"/>
        <v>0</v>
      </c>
      <c r="F104" s="8">
        <f t="shared" si="21"/>
        <v>0</v>
      </c>
      <c r="G104" s="8">
        <f t="shared" si="22"/>
        <v>0</v>
      </c>
      <c r="H104" s="8">
        <f t="shared" si="23"/>
        <v>0</v>
      </c>
      <c r="I104" s="8">
        <f t="shared" si="24"/>
        <v>0</v>
      </c>
      <c r="J104" s="8">
        <f t="shared" si="25"/>
        <v>0</v>
      </c>
      <c r="K104" s="8">
        <f t="shared" ca="1" si="26"/>
        <v>-1.261920777695797E-3</v>
      </c>
      <c r="L104" s="8">
        <f t="shared" ca="1" si="27"/>
        <v>1.5924440491803651E-6</v>
      </c>
      <c r="M104" s="8">
        <f t="shared" ca="1" si="18"/>
        <v>45104787.429188266</v>
      </c>
      <c r="N104" s="8">
        <f t="shared" ca="1" si="19"/>
        <v>603909.73538274481</v>
      </c>
      <c r="O104" s="8">
        <f t="shared" ca="1" si="20"/>
        <v>2026739.1181619386</v>
      </c>
      <c r="P104" s="3">
        <f t="shared" ca="1" si="28"/>
        <v>1.261920777695797E-3</v>
      </c>
      <c r="Q104" s="3"/>
      <c r="R104" s="3"/>
      <c r="S104" s="3"/>
    </row>
    <row r="105" spans="1:19" x14ac:dyDescent="0.2">
      <c r="A105" s="43"/>
      <c r="B105" s="43"/>
      <c r="C105" s="3"/>
      <c r="D105" s="44">
        <f t="shared" si="17"/>
        <v>0</v>
      </c>
      <c r="E105" s="44">
        <f t="shared" si="17"/>
        <v>0</v>
      </c>
      <c r="F105" s="8">
        <f t="shared" si="21"/>
        <v>0</v>
      </c>
      <c r="G105" s="8">
        <f t="shared" si="22"/>
        <v>0</v>
      </c>
      <c r="H105" s="8">
        <f t="shared" si="23"/>
        <v>0</v>
      </c>
      <c r="I105" s="8">
        <f t="shared" si="24"/>
        <v>0</v>
      </c>
      <c r="J105" s="8">
        <f t="shared" si="25"/>
        <v>0</v>
      </c>
      <c r="K105" s="8">
        <f t="shared" ca="1" si="26"/>
        <v>-1.261920777695797E-3</v>
      </c>
      <c r="L105" s="8">
        <f t="shared" ca="1" si="27"/>
        <v>1.5924440491803651E-6</v>
      </c>
      <c r="M105" s="8">
        <f t="shared" ca="1" si="18"/>
        <v>45104787.429188266</v>
      </c>
      <c r="N105" s="8">
        <f t="shared" ca="1" si="19"/>
        <v>603909.73538274481</v>
      </c>
      <c r="O105" s="8">
        <f t="shared" ca="1" si="20"/>
        <v>2026739.1181619386</v>
      </c>
      <c r="P105" s="3">
        <f t="shared" ca="1" si="28"/>
        <v>1.261920777695797E-3</v>
      </c>
      <c r="Q105" s="3"/>
      <c r="R105" s="3"/>
      <c r="S105" s="3"/>
    </row>
    <row r="106" spans="1:19" x14ac:dyDescent="0.2">
      <c r="A106" s="43"/>
      <c r="B106" s="43"/>
      <c r="C106" s="3"/>
      <c r="D106" s="44">
        <f t="shared" si="17"/>
        <v>0</v>
      </c>
      <c r="E106" s="44">
        <f t="shared" si="17"/>
        <v>0</v>
      </c>
      <c r="F106" s="8">
        <f t="shared" si="21"/>
        <v>0</v>
      </c>
      <c r="G106" s="8">
        <f t="shared" si="22"/>
        <v>0</v>
      </c>
      <c r="H106" s="8">
        <f t="shared" si="23"/>
        <v>0</v>
      </c>
      <c r="I106" s="8">
        <f t="shared" si="24"/>
        <v>0</v>
      </c>
      <c r="J106" s="8">
        <f t="shared" si="25"/>
        <v>0</v>
      </c>
      <c r="K106" s="8">
        <f t="shared" ca="1" si="26"/>
        <v>-1.261920777695797E-3</v>
      </c>
      <c r="L106" s="8">
        <f t="shared" ca="1" si="27"/>
        <v>1.5924440491803651E-6</v>
      </c>
      <c r="M106" s="8">
        <f t="shared" ca="1" si="18"/>
        <v>45104787.429188266</v>
      </c>
      <c r="N106" s="8">
        <f t="shared" ca="1" si="19"/>
        <v>603909.73538274481</v>
      </c>
      <c r="O106" s="8">
        <f t="shared" ca="1" si="20"/>
        <v>2026739.1181619386</v>
      </c>
      <c r="P106" s="3">
        <f t="shared" ca="1" si="28"/>
        <v>1.261920777695797E-3</v>
      </c>
      <c r="Q106" s="3"/>
      <c r="R106" s="3"/>
      <c r="S106" s="3"/>
    </row>
    <row r="107" spans="1:19" x14ac:dyDescent="0.2">
      <c r="A107" s="43"/>
      <c r="B107" s="43"/>
      <c r="C107" s="3"/>
      <c r="D107" s="44">
        <f t="shared" si="17"/>
        <v>0</v>
      </c>
      <c r="E107" s="44">
        <f t="shared" si="17"/>
        <v>0</v>
      </c>
      <c r="F107" s="8">
        <f t="shared" si="21"/>
        <v>0</v>
      </c>
      <c r="G107" s="8">
        <f t="shared" si="22"/>
        <v>0</v>
      </c>
      <c r="H107" s="8">
        <f t="shared" si="23"/>
        <v>0</v>
      </c>
      <c r="I107" s="8">
        <f t="shared" si="24"/>
        <v>0</v>
      </c>
      <c r="J107" s="8">
        <f t="shared" si="25"/>
        <v>0</v>
      </c>
      <c r="K107" s="8">
        <f t="shared" ca="1" si="26"/>
        <v>-1.261920777695797E-3</v>
      </c>
      <c r="L107" s="8">
        <f t="shared" ca="1" si="27"/>
        <v>1.5924440491803651E-6</v>
      </c>
      <c r="M107" s="8">
        <f t="shared" ca="1" si="18"/>
        <v>45104787.429188266</v>
      </c>
      <c r="N107" s="8">
        <f t="shared" ca="1" si="19"/>
        <v>603909.73538274481</v>
      </c>
      <c r="O107" s="8">
        <f t="shared" ca="1" si="20"/>
        <v>2026739.1181619386</v>
      </c>
      <c r="P107" s="3">
        <f t="shared" ca="1" si="28"/>
        <v>1.261920777695797E-3</v>
      </c>
      <c r="Q107" s="3"/>
      <c r="R107" s="3"/>
      <c r="S107" s="3"/>
    </row>
    <row r="108" spans="1:19" x14ac:dyDescent="0.2">
      <c r="A108" s="43"/>
      <c r="B108" s="43"/>
      <c r="C108" s="3"/>
      <c r="D108" s="44">
        <f t="shared" si="17"/>
        <v>0</v>
      </c>
      <c r="E108" s="44">
        <f t="shared" si="17"/>
        <v>0</v>
      </c>
      <c r="F108" s="8">
        <f t="shared" si="21"/>
        <v>0</v>
      </c>
      <c r="G108" s="8">
        <f t="shared" si="22"/>
        <v>0</v>
      </c>
      <c r="H108" s="8">
        <f t="shared" si="23"/>
        <v>0</v>
      </c>
      <c r="I108" s="8">
        <f t="shared" si="24"/>
        <v>0</v>
      </c>
      <c r="J108" s="8">
        <f t="shared" si="25"/>
        <v>0</v>
      </c>
      <c r="K108" s="8">
        <f t="shared" ca="1" si="26"/>
        <v>-1.261920777695797E-3</v>
      </c>
      <c r="L108" s="8">
        <f t="shared" ca="1" si="27"/>
        <v>1.5924440491803651E-6</v>
      </c>
      <c r="M108" s="8">
        <f t="shared" ca="1" si="18"/>
        <v>45104787.429188266</v>
      </c>
      <c r="N108" s="8">
        <f t="shared" ca="1" si="19"/>
        <v>603909.73538274481</v>
      </c>
      <c r="O108" s="8">
        <f t="shared" ca="1" si="20"/>
        <v>2026739.1181619386</v>
      </c>
      <c r="P108" s="3">
        <f t="shared" ca="1" si="28"/>
        <v>1.261920777695797E-3</v>
      </c>
      <c r="Q108" s="3"/>
      <c r="R108" s="3"/>
      <c r="S108" s="3"/>
    </row>
    <row r="109" spans="1:19" x14ac:dyDescent="0.2">
      <c r="A109" s="43"/>
      <c r="B109" s="43"/>
      <c r="C109" s="3"/>
      <c r="D109" s="44">
        <f t="shared" si="17"/>
        <v>0</v>
      </c>
      <c r="E109" s="44">
        <f t="shared" si="17"/>
        <v>0</v>
      </c>
      <c r="F109" s="8">
        <f t="shared" si="21"/>
        <v>0</v>
      </c>
      <c r="G109" s="8">
        <f t="shared" si="22"/>
        <v>0</v>
      </c>
      <c r="H109" s="8">
        <f t="shared" si="23"/>
        <v>0</v>
      </c>
      <c r="I109" s="8">
        <f t="shared" si="24"/>
        <v>0</v>
      </c>
      <c r="J109" s="8">
        <f t="shared" si="25"/>
        <v>0</v>
      </c>
      <c r="K109" s="8">
        <f t="shared" ca="1" si="26"/>
        <v>-1.261920777695797E-3</v>
      </c>
      <c r="L109" s="8">
        <f t="shared" ca="1" si="27"/>
        <v>1.5924440491803651E-6</v>
      </c>
      <c r="M109" s="8">
        <f t="shared" ca="1" si="18"/>
        <v>45104787.429188266</v>
      </c>
      <c r="N109" s="8">
        <f t="shared" ca="1" si="19"/>
        <v>603909.73538274481</v>
      </c>
      <c r="O109" s="8">
        <f t="shared" ca="1" si="20"/>
        <v>2026739.1181619386</v>
      </c>
      <c r="P109" s="3">
        <f t="shared" ca="1" si="28"/>
        <v>1.261920777695797E-3</v>
      </c>
      <c r="Q109" s="3"/>
      <c r="R109" s="3"/>
      <c r="S109" s="3"/>
    </row>
    <row r="110" spans="1:19" x14ac:dyDescent="0.2">
      <c r="A110" s="43"/>
      <c r="B110" s="43"/>
      <c r="C110" s="3"/>
      <c r="D110" s="44">
        <f t="shared" si="17"/>
        <v>0</v>
      </c>
      <c r="E110" s="44">
        <f t="shared" si="17"/>
        <v>0</v>
      </c>
      <c r="F110" s="8">
        <f t="shared" si="21"/>
        <v>0</v>
      </c>
      <c r="G110" s="8">
        <f t="shared" si="22"/>
        <v>0</v>
      </c>
      <c r="H110" s="8">
        <f t="shared" si="23"/>
        <v>0</v>
      </c>
      <c r="I110" s="8">
        <f t="shared" si="24"/>
        <v>0</v>
      </c>
      <c r="J110" s="8">
        <f t="shared" si="25"/>
        <v>0</v>
      </c>
      <c r="K110" s="8">
        <f t="shared" ca="1" si="26"/>
        <v>-1.261920777695797E-3</v>
      </c>
      <c r="L110" s="8">
        <f t="shared" ca="1" si="27"/>
        <v>1.5924440491803651E-6</v>
      </c>
      <c r="M110" s="8">
        <f t="shared" ca="1" si="18"/>
        <v>45104787.429188266</v>
      </c>
      <c r="N110" s="8">
        <f t="shared" ca="1" si="19"/>
        <v>603909.73538274481</v>
      </c>
      <c r="O110" s="8">
        <f t="shared" ca="1" si="20"/>
        <v>2026739.1181619386</v>
      </c>
      <c r="P110" s="3">
        <f t="shared" ca="1" si="28"/>
        <v>1.261920777695797E-3</v>
      </c>
      <c r="Q110" s="3"/>
      <c r="R110" s="3"/>
      <c r="S110" s="3"/>
    </row>
    <row r="111" spans="1:19" x14ac:dyDescent="0.2">
      <c r="A111" s="43"/>
      <c r="B111" s="43"/>
      <c r="C111" s="3"/>
      <c r="D111" s="44">
        <f t="shared" si="17"/>
        <v>0</v>
      </c>
      <c r="E111" s="44">
        <f t="shared" si="17"/>
        <v>0</v>
      </c>
      <c r="F111" s="8">
        <f t="shared" si="21"/>
        <v>0</v>
      </c>
      <c r="G111" s="8">
        <f t="shared" si="22"/>
        <v>0</v>
      </c>
      <c r="H111" s="8">
        <f t="shared" si="23"/>
        <v>0</v>
      </c>
      <c r="I111" s="8">
        <f t="shared" si="24"/>
        <v>0</v>
      </c>
      <c r="J111" s="8">
        <f t="shared" si="25"/>
        <v>0</v>
      </c>
      <c r="K111" s="8">
        <f t="shared" ca="1" si="26"/>
        <v>-1.261920777695797E-3</v>
      </c>
      <c r="L111" s="8">
        <f t="shared" ca="1" si="27"/>
        <v>1.5924440491803651E-6</v>
      </c>
      <c r="M111" s="8">
        <f t="shared" ca="1" si="18"/>
        <v>45104787.429188266</v>
      </c>
      <c r="N111" s="8">
        <f t="shared" ca="1" si="19"/>
        <v>603909.73538274481</v>
      </c>
      <c r="O111" s="8">
        <f t="shared" ca="1" si="20"/>
        <v>2026739.1181619386</v>
      </c>
      <c r="P111" s="3">
        <f t="shared" ca="1" si="28"/>
        <v>1.261920777695797E-3</v>
      </c>
      <c r="Q111" s="3"/>
      <c r="R111" s="3"/>
      <c r="S111" s="3"/>
    </row>
    <row r="112" spans="1:19" x14ac:dyDescent="0.2">
      <c r="A112" s="43"/>
      <c r="B112" s="43"/>
      <c r="C112" s="3"/>
      <c r="D112" s="44">
        <f t="shared" si="17"/>
        <v>0</v>
      </c>
      <c r="E112" s="44">
        <f t="shared" si="17"/>
        <v>0</v>
      </c>
      <c r="F112" s="8">
        <f t="shared" si="21"/>
        <v>0</v>
      </c>
      <c r="G112" s="8">
        <f t="shared" si="22"/>
        <v>0</v>
      </c>
      <c r="H112" s="8">
        <f t="shared" si="23"/>
        <v>0</v>
      </c>
      <c r="I112" s="8">
        <f t="shared" si="24"/>
        <v>0</v>
      </c>
      <c r="J112" s="8">
        <f t="shared" si="25"/>
        <v>0</v>
      </c>
      <c r="K112" s="8">
        <f t="shared" ca="1" si="26"/>
        <v>-1.261920777695797E-3</v>
      </c>
      <c r="L112" s="8">
        <f t="shared" ca="1" si="27"/>
        <v>1.5924440491803651E-6</v>
      </c>
      <c r="M112" s="8">
        <f t="shared" ca="1" si="18"/>
        <v>45104787.429188266</v>
      </c>
      <c r="N112" s="8">
        <f t="shared" ca="1" si="19"/>
        <v>603909.73538274481</v>
      </c>
      <c r="O112" s="8">
        <f t="shared" ca="1" si="20"/>
        <v>2026739.1181619386</v>
      </c>
      <c r="P112" s="3">
        <f t="shared" ca="1" si="28"/>
        <v>1.261920777695797E-3</v>
      </c>
      <c r="Q112" s="3"/>
      <c r="R112" s="3"/>
      <c r="S112" s="3"/>
    </row>
    <row r="113" spans="1:19" x14ac:dyDescent="0.2">
      <c r="A113" s="43"/>
      <c r="B113" s="43"/>
      <c r="C113" s="3"/>
      <c r="D113" s="44">
        <f t="shared" si="17"/>
        <v>0</v>
      </c>
      <c r="E113" s="44">
        <f t="shared" si="17"/>
        <v>0</v>
      </c>
      <c r="F113" s="8">
        <f t="shared" si="21"/>
        <v>0</v>
      </c>
      <c r="G113" s="8">
        <f t="shared" si="22"/>
        <v>0</v>
      </c>
      <c r="H113" s="8">
        <f t="shared" si="23"/>
        <v>0</v>
      </c>
      <c r="I113" s="8">
        <f t="shared" si="24"/>
        <v>0</v>
      </c>
      <c r="J113" s="8">
        <f t="shared" si="25"/>
        <v>0</v>
      </c>
      <c r="K113" s="8">
        <f t="shared" ca="1" si="26"/>
        <v>-1.261920777695797E-3</v>
      </c>
      <c r="L113" s="8">
        <f t="shared" ca="1" si="27"/>
        <v>1.5924440491803651E-6</v>
      </c>
      <c r="M113" s="8">
        <f t="shared" ca="1" si="18"/>
        <v>45104787.429188266</v>
      </c>
      <c r="N113" s="8">
        <f t="shared" ca="1" si="19"/>
        <v>603909.73538274481</v>
      </c>
      <c r="O113" s="8">
        <f t="shared" ca="1" si="20"/>
        <v>2026739.1181619386</v>
      </c>
      <c r="P113" s="3">
        <f t="shared" ca="1" si="28"/>
        <v>1.261920777695797E-3</v>
      </c>
      <c r="Q113" s="3"/>
      <c r="R113" s="3"/>
      <c r="S113" s="3"/>
    </row>
    <row r="114" spans="1:19" x14ac:dyDescent="0.2">
      <c r="A114" s="43"/>
      <c r="B114" s="43"/>
      <c r="C114" s="3"/>
      <c r="D114" s="44">
        <f t="shared" si="17"/>
        <v>0</v>
      </c>
      <c r="E114" s="44">
        <f t="shared" si="17"/>
        <v>0</v>
      </c>
      <c r="F114" s="8">
        <f t="shared" si="21"/>
        <v>0</v>
      </c>
      <c r="G114" s="8">
        <f t="shared" si="22"/>
        <v>0</v>
      </c>
      <c r="H114" s="8">
        <f t="shared" si="23"/>
        <v>0</v>
      </c>
      <c r="I114" s="8">
        <f t="shared" si="24"/>
        <v>0</v>
      </c>
      <c r="J114" s="8">
        <f t="shared" si="25"/>
        <v>0</v>
      </c>
      <c r="K114" s="8">
        <f t="shared" ca="1" si="26"/>
        <v>-1.261920777695797E-3</v>
      </c>
      <c r="L114" s="8">
        <f t="shared" ca="1" si="27"/>
        <v>1.5924440491803651E-6</v>
      </c>
      <c r="M114" s="8">
        <f t="shared" ca="1" si="18"/>
        <v>45104787.429188266</v>
      </c>
      <c r="N114" s="8">
        <f t="shared" ca="1" si="19"/>
        <v>603909.73538274481</v>
      </c>
      <c r="O114" s="8">
        <f t="shared" ca="1" si="20"/>
        <v>2026739.1181619386</v>
      </c>
      <c r="P114" s="3">
        <f t="shared" ca="1" si="28"/>
        <v>1.261920777695797E-3</v>
      </c>
      <c r="Q114" s="3"/>
      <c r="R114" s="3"/>
      <c r="S114" s="3"/>
    </row>
    <row r="115" spans="1:19" x14ac:dyDescent="0.2">
      <c r="A115" s="43"/>
      <c r="B115" s="43"/>
      <c r="C115" s="3"/>
      <c r="D115" s="44">
        <f t="shared" si="17"/>
        <v>0</v>
      </c>
      <c r="E115" s="44">
        <f t="shared" si="17"/>
        <v>0</v>
      </c>
      <c r="F115" s="8">
        <f t="shared" si="21"/>
        <v>0</v>
      </c>
      <c r="G115" s="8">
        <f t="shared" si="22"/>
        <v>0</v>
      </c>
      <c r="H115" s="8">
        <f t="shared" si="23"/>
        <v>0</v>
      </c>
      <c r="I115" s="8">
        <f t="shared" si="24"/>
        <v>0</v>
      </c>
      <c r="J115" s="8">
        <f t="shared" si="25"/>
        <v>0</v>
      </c>
      <c r="K115" s="8">
        <f t="shared" ca="1" si="26"/>
        <v>-1.261920777695797E-3</v>
      </c>
      <c r="L115" s="8">
        <f t="shared" ca="1" si="27"/>
        <v>1.5924440491803651E-6</v>
      </c>
      <c r="M115" s="8">
        <f t="shared" ca="1" si="18"/>
        <v>45104787.429188266</v>
      </c>
      <c r="N115" s="8">
        <f t="shared" ca="1" si="19"/>
        <v>603909.73538274481</v>
      </c>
      <c r="O115" s="8">
        <f t="shared" ca="1" si="20"/>
        <v>2026739.1181619386</v>
      </c>
      <c r="P115" s="3">
        <f t="shared" ca="1" si="28"/>
        <v>1.261920777695797E-3</v>
      </c>
      <c r="Q115" s="3"/>
      <c r="R115" s="3"/>
      <c r="S115" s="3"/>
    </row>
    <row r="116" spans="1:19" x14ac:dyDescent="0.2">
      <c r="A116" s="43"/>
      <c r="B116" s="43"/>
      <c r="C116" s="3"/>
      <c r="D116" s="44">
        <f t="shared" ref="D116:E131" si="29">A116/A$18</f>
        <v>0</v>
      </c>
      <c r="E116" s="44">
        <f t="shared" si="29"/>
        <v>0</v>
      </c>
      <c r="F116" s="8">
        <f t="shared" si="21"/>
        <v>0</v>
      </c>
      <c r="G116" s="8">
        <f t="shared" si="22"/>
        <v>0</v>
      </c>
      <c r="H116" s="8">
        <f t="shared" si="23"/>
        <v>0</v>
      </c>
      <c r="I116" s="8">
        <f t="shared" si="24"/>
        <v>0</v>
      </c>
      <c r="J116" s="8">
        <f t="shared" si="25"/>
        <v>0</v>
      </c>
      <c r="K116" s="8">
        <f t="shared" ca="1" si="26"/>
        <v>-1.261920777695797E-3</v>
      </c>
      <c r="L116" s="8">
        <f t="shared" ca="1" si="27"/>
        <v>1.5924440491803651E-6</v>
      </c>
      <c r="M116" s="8">
        <f t="shared" ca="1" si="18"/>
        <v>45104787.429188266</v>
      </c>
      <c r="N116" s="8">
        <f t="shared" ca="1" si="19"/>
        <v>603909.73538274481</v>
      </c>
      <c r="O116" s="8">
        <f t="shared" ca="1" si="20"/>
        <v>2026739.1181619386</v>
      </c>
      <c r="P116" s="3">
        <f t="shared" ca="1" si="28"/>
        <v>1.261920777695797E-3</v>
      </c>
      <c r="Q116" s="3"/>
      <c r="R116" s="3"/>
      <c r="S116" s="3"/>
    </row>
    <row r="117" spans="1:19" x14ac:dyDescent="0.2">
      <c r="A117" s="43"/>
      <c r="B117" s="43"/>
      <c r="C117" s="3"/>
      <c r="D117" s="44">
        <f t="shared" si="29"/>
        <v>0</v>
      </c>
      <c r="E117" s="44">
        <f t="shared" si="29"/>
        <v>0</v>
      </c>
      <c r="F117" s="8">
        <f t="shared" si="21"/>
        <v>0</v>
      </c>
      <c r="G117" s="8">
        <f t="shared" si="22"/>
        <v>0</v>
      </c>
      <c r="H117" s="8">
        <f t="shared" si="23"/>
        <v>0</v>
      </c>
      <c r="I117" s="8">
        <f t="shared" si="24"/>
        <v>0</v>
      </c>
      <c r="J117" s="8">
        <f t="shared" si="25"/>
        <v>0</v>
      </c>
      <c r="K117" s="8">
        <f t="shared" ref="K117:K144" ca="1" si="30">+E$4+E$5*D117+E$6*D117^2</f>
        <v>-1.261920777695797E-3</v>
      </c>
      <c r="L117" s="8">
        <f t="shared" ca="1" si="27"/>
        <v>1.5924440491803651E-6</v>
      </c>
      <c r="M117" s="8">
        <f t="shared" ca="1" si="18"/>
        <v>45104787.429188266</v>
      </c>
      <c r="N117" s="8">
        <f t="shared" ca="1" si="19"/>
        <v>603909.73538274481</v>
      </c>
      <c r="O117" s="8">
        <f t="shared" ca="1" si="20"/>
        <v>2026739.1181619386</v>
      </c>
      <c r="P117" s="3">
        <f t="shared" ca="1" si="28"/>
        <v>1.261920777695797E-3</v>
      </c>
      <c r="Q117" s="3"/>
      <c r="R117" s="3"/>
      <c r="S117" s="3"/>
    </row>
    <row r="118" spans="1:19" x14ac:dyDescent="0.2">
      <c r="A118" s="43"/>
      <c r="B118" s="43"/>
      <c r="C118" s="3"/>
      <c r="D118" s="44">
        <f t="shared" si="29"/>
        <v>0</v>
      </c>
      <c r="E118" s="44">
        <f t="shared" si="29"/>
        <v>0</v>
      </c>
      <c r="F118" s="8">
        <f t="shared" si="21"/>
        <v>0</v>
      </c>
      <c r="G118" s="8">
        <f t="shared" si="22"/>
        <v>0</v>
      </c>
      <c r="H118" s="8">
        <f t="shared" si="23"/>
        <v>0</v>
      </c>
      <c r="I118" s="8">
        <f t="shared" si="24"/>
        <v>0</v>
      </c>
      <c r="J118" s="8">
        <f t="shared" si="25"/>
        <v>0</v>
      </c>
      <c r="K118" s="8">
        <f t="shared" ca="1" si="30"/>
        <v>-1.261920777695797E-3</v>
      </c>
      <c r="L118" s="8">
        <f t="shared" ca="1" si="27"/>
        <v>1.5924440491803651E-6</v>
      </c>
      <c r="M118" s="8">
        <f t="shared" ca="1" si="18"/>
        <v>45104787.429188266</v>
      </c>
      <c r="N118" s="8">
        <f t="shared" ca="1" si="19"/>
        <v>603909.73538274481</v>
      </c>
      <c r="O118" s="8">
        <f t="shared" ca="1" si="20"/>
        <v>2026739.1181619386</v>
      </c>
      <c r="P118" s="3">
        <f t="shared" ca="1" si="28"/>
        <v>1.261920777695797E-3</v>
      </c>
      <c r="Q118" s="3"/>
      <c r="R118" s="3"/>
      <c r="S118" s="3"/>
    </row>
    <row r="119" spans="1:19" x14ac:dyDescent="0.2">
      <c r="A119" s="45"/>
      <c r="B119" s="45"/>
      <c r="C119" s="3"/>
      <c r="D119" s="44">
        <f t="shared" si="29"/>
        <v>0</v>
      </c>
      <c r="E119" s="44">
        <f t="shared" si="29"/>
        <v>0</v>
      </c>
      <c r="F119" s="8">
        <f t="shared" si="21"/>
        <v>0</v>
      </c>
      <c r="G119" s="8">
        <f t="shared" si="22"/>
        <v>0</v>
      </c>
      <c r="H119" s="8">
        <f t="shared" si="23"/>
        <v>0</v>
      </c>
      <c r="I119" s="8">
        <f t="shared" si="24"/>
        <v>0</v>
      </c>
      <c r="J119" s="8">
        <f t="shared" si="25"/>
        <v>0</v>
      </c>
      <c r="K119" s="8">
        <f t="shared" ca="1" si="30"/>
        <v>-1.261920777695797E-3</v>
      </c>
      <c r="L119" s="8">
        <f t="shared" ca="1" si="27"/>
        <v>1.5924440491803651E-6</v>
      </c>
      <c r="M119" s="8">
        <f t="shared" ca="1" si="18"/>
        <v>45104787.429188266</v>
      </c>
      <c r="N119" s="8">
        <f t="shared" ca="1" si="19"/>
        <v>603909.73538274481</v>
      </c>
      <c r="O119" s="8">
        <f t="shared" ca="1" si="20"/>
        <v>2026739.1181619386</v>
      </c>
      <c r="P119" s="3">
        <f t="shared" ca="1" si="28"/>
        <v>1.261920777695797E-3</v>
      </c>
      <c r="Q119" s="3"/>
      <c r="R119" s="3"/>
      <c r="S119" s="3"/>
    </row>
    <row r="120" spans="1:19" x14ac:dyDescent="0.2">
      <c r="A120" s="45"/>
      <c r="B120" s="45"/>
      <c r="C120" s="3"/>
      <c r="D120" s="44">
        <f t="shared" si="29"/>
        <v>0</v>
      </c>
      <c r="E120" s="44">
        <f t="shared" si="29"/>
        <v>0</v>
      </c>
      <c r="F120" s="8">
        <f t="shared" si="21"/>
        <v>0</v>
      </c>
      <c r="G120" s="8">
        <f t="shared" si="22"/>
        <v>0</v>
      </c>
      <c r="H120" s="8">
        <f t="shared" si="23"/>
        <v>0</v>
      </c>
      <c r="I120" s="8">
        <f t="shared" si="24"/>
        <v>0</v>
      </c>
      <c r="J120" s="8">
        <f t="shared" si="25"/>
        <v>0</v>
      </c>
      <c r="K120" s="8">
        <f t="shared" ca="1" si="30"/>
        <v>-1.261920777695797E-3</v>
      </c>
      <c r="L120" s="8">
        <f t="shared" ca="1" si="27"/>
        <v>1.5924440491803651E-6</v>
      </c>
      <c r="M120" s="8">
        <f t="shared" ca="1" si="18"/>
        <v>45104787.429188266</v>
      </c>
      <c r="N120" s="8">
        <f t="shared" ca="1" si="19"/>
        <v>603909.73538274481</v>
      </c>
      <c r="O120" s="8">
        <f t="shared" ca="1" si="20"/>
        <v>2026739.1181619386</v>
      </c>
      <c r="P120" s="3">
        <f t="shared" ca="1" si="28"/>
        <v>1.261920777695797E-3</v>
      </c>
      <c r="Q120" s="3"/>
      <c r="R120" s="3"/>
      <c r="S120" s="3"/>
    </row>
    <row r="121" spans="1:19" x14ac:dyDescent="0.2">
      <c r="A121" s="45"/>
      <c r="B121" s="45"/>
      <c r="C121" s="3"/>
      <c r="D121" s="44">
        <f t="shared" si="29"/>
        <v>0</v>
      </c>
      <c r="E121" s="44">
        <f t="shared" si="29"/>
        <v>0</v>
      </c>
      <c r="F121" s="8">
        <f t="shared" si="21"/>
        <v>0</v>
      </c>
      <c r="G121" s="8">
        <f t="shared" si="22"/>
        <v>0</v>
      </c>
      <c r="H121" s="8">
        <f t="shared" si="23"/>
        <v>0</v>
      </c>
      <c r="I121" s="8">
        <f t="shared" si="24"/>
        <v>0</v>
      </c>
      <c r="J121" s="8">
        <f t="shared" si="25"/>
        <v>0</v>
      </c>
      <c r="K121" s="8">
        <f t="shared" ca="1" si="30"/>
        <v>-1.261920777695797E-3</v>
      </c>
      <c r="L121" s="8">
        <f t="shared" ca="1" si="27"/>
        <v>1.5924440491803651E-6</v>
      </c>
      <c r="M121" s="8">
        <f t="shared" ca="1" si="18"/>
        <v>45104787.429188266</v>
      </c>
      <c r="N121" s="8">
        <f t="shared" ca="1" si="19"/>
        <v>603909.73538274481</v>
      </c>
      <c r="O121" s="8">
        <f t="shared" ca="1" si="20"/>
        <v>2026739.1181619386</v>
      </c>
      <c r="P121" s="3">
        <f t="shared" ca="1" si="28"/>
        <v>1.261920777695797E-3</v>
      </c>
      <c r="Q121" s="3"/>
      <c r="R121" s="3"/>
      <c r="S121" s="3"/>
    </row>
    <row r="122" spans="1:19" x14ac:dyDescent="0.2">
      <c r="A122" s="45"/>
      <c r="B122" s="45"/>
      <c r="C122" s="3"/>
      <c r="D122" s="44">
        <f t="shared" si="29"/>
        <v>0</v>
      </c>
      <c r="E122" s="44">
        <f t="shared" si="29"/>
        <v>0</v>
      </c>
      <c r="F122" s="8">
        <f t="shared" si="21"/>
        <v>0</v>
      </c>
      <c r="G122" s="8">
        <f t="shared" si="22"/>
        <v>0</v>
      </c>
      <c r="H122" s="8">
        <f t="shared" si="23"/>
        <v>0</v>
      </c>
      <c r="I122" s="8">
        <f t="shared" si="24"/>
        <v>0</v>
      </c>
      <c r="J122" s="8">
        <f t="shared" si="25"/>
        <v>0</v>
      </c>
      <c r="K122" s="8">
        <f t="shared" ca="1" si="30"/>
        <v>-1.261920777695797E-3</v>
      </c>
      <c r="L122" s="8">
        <f t="shared" ca="1" si="27"/>
        <v>1.5924440491803651E-6</v>
      </c>
      <c r="M122" s="8">
        <f t="shared" ca="1" si="18"/>
        <v>45104787.429188266</v>
      </c>
      <c r="N122" s="8">
        <f t="shared" ca="1" si="19"/>
        <v>603909.73538274481</v>
      </c>
      <c r="O122" s="8">
        <f t="shared" ca="1" si="20"/>
        <v>2026739.1181619386</v>
      </c>
      <c r="P122" s="3">
        <f t="shared" ca="1" si="28"/>
        <v>1.261920777695797E-3</v>
      </c>
      <c r="Q122" s="3"/>
      <c r="R122" s="3"/>
      <c r="S122" s="3"/>
    </row>
    <row r="123" spans="1:19" x14ac:dyDescent="0.2">
      <c r="A123" s="45"/>
      <c r="B123" s="45"/>
      <c r="C123" s="3"/>
      <c r="D123" s="44">
        <f t="shared" si="29"/>
        <v>0</v>
      </c>
      <c r="E123" s="44">
        <f t="shared" si="29"/>
        <v>0</v>
      </c>
      <c r="F123" s="8">
        <f t="shared" si="21"/>
        <v>0</v>
      </c>
      <c r="G123" s="8">
        <f t="shared" si="22"/>
        <v>0</v>
      </c>
      <c r="H123" s="8">
        <f t="shared" si="23"/>
        <v>0</v>
      </c>
      <c r="I123" s="8">
        <f t="shared" si="24"/>
        <v>0</v>
      </c>
      <c r="J123" s="8">
        <f t="shared" si="25"/>
        <v>0</v>
      </c>
      <c r="K123" s="8">
        <f t="shared" ca="1" si="30"/>
        <v>-1.261920777695797E-3</v>
      </c>
      <c r="L123" s="8">
        <f t="shared" ca="1" si="27"/>
        <v>1.5924440491803651E-6</v>
      </c>
      <c r="M123" s="8">
        <f t="shared" ca="1" si="18"/>
        <v>45104787.429188266</v>
      </c>
      <c r="N123" s="8">
        <f t="shared" ca="1" si="19"/>
        <v>603909.73538274481</v>
      </c>
      <c r="O123" s="8">
        <f t="shared" ca="1" si="20"/>
        <v>2026739.1181619386</v>
      </c>
      <c r="P123" s="3">
        <f t="shared" ca="1" si="28"/>
        <v>1.261920777695797E-3</v>
      </c>
      <c r="Q123" s="3"/>
      <c r="R123" s="3"/>
      <c r="S123" s="3"/>
    </row>
    <row r="124" spans="1:19" x14ac:dyDescent="0.2">
      <c r="A124" s="45"/>
      <c r="B124" s="45"/>
      <c r="C124" s="3"/>
      <c r="D124" s="44">
        <f t="shared" si="29"/>
        <v>0</v>
      </c>
      <c r="E124" s="44">
        <f t="shared" si="29"/>
        <v>0</v>
      </c>
      <c r="F124" s="8">
        <f t="shared" si="21"/>
        <v>0</v>
      </c>
      <c r="G124" s="8">
        <f t="shared" si="22"/>
        <v>0</v>
      </c>
      <c r="H124" s="8">
        <f t="shared" si="23"/>
        <v>0</v>
      </c>
      <c r="I124" s="8">
        <f t="shared" si="24"/>
        <v>0</v>
      </c>
      <c r="J124" s="8">
        <f t="shared" si="25"/>
        <v>0</v>
      </c>
      <c r="K124" s="8">
        <f t="shared" ca="1" si="30"/>
        <v>-1.261920777695797E-3</v>
      </c>
      <c r="L124" s="8">
        <f t="shared" ca="1" si="27"/>
        <v>1.5924440491803651E-6</v>
      </c>
      <c r="M124" s="8">
        <f t="shared" ca="1" si="18"/>
        <v>45104787.429188266</v>
      </c>
      <c r="N124" s="8">
        <f t="shared" ca="1" si="19"/>
        <v>603909.73538274481</v>
      </c>
      <c r="O124" s="8">
        <f t="shared" ca="1" si="20"/>
        <v>2026739.1181619386</v>
      </c>
      <c r="P124" s="3">
        <f t="shared" ca="1" si="28"/>
        <v>1.261920777695797E-3</v>
      </c>
      <c r="Q124" s="3"/>
      <c r="R124" s="3"/>
      <c r="S124" s="3"/>
    </row>
    <row r="125" spans="1:19" x14ac:dyDescent="0.2">
      <c r="A125" s="45"/>
      <c r="B125" s="45"/>
      <c r="C125" s="3"/>
      <c r="D125" s="44">
        <f t="shared" si="29"/>
        <v>0</v>
      </c>
      <c r="E125" s="44">
        <f t="shared" si="29"/>
        <v>0</v>
      </c>
      <c r="F125" s="8">
        <f t="shared" si="21"/>
        <v>0</v>
      </c>
      <c r="G125" s="8">
        <f t="shared" si="22"/>
        <v>0</v>
      </c>
      <c r="H125" s="8">
        <f t="shared" si="23"/>
        <v>0</v>
      </c>
      <c r="I125" s="8">
        <f t="shared" si="24"/>
        <v>0</v>
      </c>
      <c r="J125" s="8">
        <f t="shared" si="25"/>
        <v>0</v>
      </c>
      <c r="K125" s="8">
        <f t="shared" ca="1" si="30"/>
        <v>-1.261920777695797E-3</v>
      </c>
      <c r="L125" s="8">
        <f t="shared" ca="1" si="27"/>
        <v>1.5924440491803651E-6</v>
      </c>
      <c r="M125" s="8">
        <f t="shared" ca="1" si="18"/>
        <v>45104787.429188266</v>
      </c>
      <c r="N125" s="8">
        <f t="shared" ca="1" si="19"/>
        <v>603909.73538274481</v>
      </c>
      <c r="O125" s="8">
        <f t="shared" ca="1" si="20"/>
        <v>2026739.1181619386</v>
      </c>
      <c r="P125" s="3">
        <f t="shared" ca="1" si="28"/>
        <v>1.261920777695797E-3</v>
      </c>
      <c r="Q125" s="3"/>
      <c r="R125" s="3"/>
      <c r="S125" s="3"/>
    </row>
    <row r="126" spans="1:19" x14ac:dyDescent="0.2">
      <c r="A126" s="45"/>
      <c r="B126" s="45"/>
      <c r="C126" s="3"/>
      <c r="D126" s="44">
        <f t="shared" si="29"/>
        <v>0</v>
      </c>
      <c r="E126" s="44">
        <f t="shared" si="29"/>
        <v>0</v>
      </c>
      <c r="F126" s="8">
        <f t="shared" si="21"/>
        <v>0</v>
      </c>
      <c r="G126" s="8">
        <f t="shared" si="22"/>
        <v>0</v>
      </c>
      <c r="H126" s="8">
        <f t="shared" si="23"/>
        <v>0</v>
      </c>
      <c r="I126" s="8">
        <f t="shared" si="24"/>
        <v>0</v>
      </c>
      <c r="J126" s="8">
        <f t="shared" si="25"/>
        <v>0</v>
      </c>
      <c r="K126" s="8">
        <f t="shared" ca="1" si="30"/>
        <v>-1.261920777695797E-3</v>
      </c>
      <c r="L126" s="8">
        <f t="shared" ca="1" si="27"/>
        <v>1.5924440491803651E-6</v>
      </c>
      <c r="M126" s="8">
        <f t="shared" ca="1" si="18"/>
        <v>45104787.429188266</v>
      </c>
      <c r="N126" s="8">
        <f t="shared" ca="1" si="19"/>
        <v>603909.73538274481</v>
      </c>
      <c r="O126" s="8">
        <f t="shared" ca="1" si="20"/>
        <v>2026739.1181619386</v>
      </c>
      <c r="P126" s="3">
        <f t="shared" ca="1" si="28"/>
        <v>1.261920777695797E-3</v>
      </c>
      <c r="Q126" s="3"/>
      <c r="R126" s="3"/>
      <c r="S126" s="3"/>
    </row>
    <row r="127" spans="1:19" x14ac:dyDescent="0.2">
      <c r="A127" s="45"/>
      <c r="B127" s="45"/>
      <c r="C127" s="3"/>
      <c r="D127" s="44">
        <f t="shared" si="29"/>
        <v>0</v>
      </c>
      <c r="E127" s="44">
        <f t="shared" si="29"/>
        <v>0</v>
      </c>
      <c r="F127" s="8">
        <f t="shared" si="21"/>
        <v>0</v>
      </c>
      <c r="G127" s="8">
        <f t="shared" si="22"/>
        <v>0</v>
      </c>
      <c r="H127" s="8">
        <f t="shared" si="23"/>
        <v>0</v>
      </c>
      <c r="I127" s="8">
        <f t="shared" si="24"/>
        <v>0</v>
      </c>
      <c r="J127" s="8">
        <f t="shared" si="25"/>
        <v>0</v>
      </c>
      <c r="K127" s="8">
        <f t="shared" ca="1" si="30"/>
        <v>-1.261920777695797E-3</v>
      </c>
      <c r="L127" s="8">
        <f t="shared" ca="1" si="27"/>
        <v>1.5924440491803651E-6</v>
      </c>
      <c r="M127" s="8">
        <f t="shared" ca="1" si="18"/>
        <v>45104787.429188266</v>
      </c>
      <c r="N127" s="8">
        <f t="shared" ca="1" si="19"/>
        <v>603909.73538274481</v>
      </c>
      <c r="O127" s="8">
        <f t="shared" ca="1" si="20"/>
        <v>2026739.1181619386</v>
      </c>
      <c r="P127" s="3">
        <f t="shared" ca="1" si="28"/>
        <v>1.261920777695797E-3</v>
      </c>
      <c r="Q127" s="3"/>
      <c r="R127" s="3"/>
      <c r="S127" s="3"/>
    </row>
    <row r="128" spans="1:19" x14ac:dyDescent="0.2">
      <c r="A128" s="45"/>
      <c r="B128" s="45"/>
      <c r="C128" s="3"/>
      <c r="D128" s="44">
        <f t="shared" si="29"/>
        <v>0</v>
      </c>
      <c r="E128" s="44">
        <f t="shared" si="29"/>
        <v>0</v>
      </c>
      <c r="F128" s="8">
        <f t="shared" si="21"/>
        <v>0</v>
      </c>
      <c r="G128" s="8">
        <f t="shared" si="22"/>
        <v>0</v>
      </c>
      <c r="H128" s="8">
        <f t="shared" si="23"/>
        <v>0</v>
      </c>
      <c r="I128" s="8">
        <f t="shared" si="24"/>
        <v>0</v>
      </c>
      <c r="J128" s="8">
        <f t="shared" si="25"/>
        <v>0</v>
      </c>
      <c r="K128" s="8">
        <f t="shared" ca="1" si="30"/>
        <v>-1.261920777695797E-3</v>
      </c>
      <c r="L128" s="8">
        <f t="shared" ca="1" si="27"/>
        <v>1.5924440491803651E-6</v>
      </c>
      <c r="M128" s="8">
        <f t="shared" ca="1" si="18"/>
        <v>45104787.429188266</v>
      </c>
      <c r="N128" s="8">
        <f t="shared" ca="1" si="19"/>
        <v>603909.73538274481</v>
      </c>
      <c r="O128" s="8">
        <f t="shared" ca="1" si="20"/>
        <v>2026739.1181619386</v>
      </c>
      <c r="P128" s="3">
        <f t="shared" ca="1" si="28"/>
        <v>1.261920777695797E-3</v>
      </c>
      <c r="Q128" s="3"/>
      <c r="R128" s="3"/>
      <c r="S128" s="3"/>
    </row>
    <row r="129" spans="1:19" x14ac:dyDescent="0.2">
      <c r="A129" s="45"/>
      <c r="B129" s="45"/>
      <c r="C129" s="3"/>
      <c r="D129" s="44">
        <f t="shared" si="29"/>
        <v>0</v>
      </c>
      <c r="E129" s="44">
        <f t="shared" si="29"/>
        <v>0</v>
      </c>
      <c r="F129" s="8">
        <f t="shared" si="21"/>
        <v>0</v>
      </c>
      <c r="G129" s="8">
        <f t="shared" si="22"/>
        <v>0</v>
      </c>
      <c r="H129" s="8">
        <f t="shared" si="23"/>
        <v>0</v>
      </c>
      <c r="I129" s="8">
        <f t="shared" si="24"/>
        <v>0</v>
      </c>
      <c r="J129" s="8">
        <f t="shared" si="25"/>
        <v>0</v>
      </c>
      <c r="K129" s="8">
        <f t="shared" ca="1" si="30"/>
        <v>-1.261920777695797E-3</v>
      </c>
      <c r="L129" s="8">
        <f t="shared" ca="1" si="27"/>
        <v>1.5924440491803651E-6</v>
      </c>
      <c r="M129" s="8">
        <f t="shared" ca="1" si="18"/>
        <v>45104787.429188266</v>
      </c>
      <c r="N129" s="8">
        <f t="shared" ca="1" si="19"/>
        <v>603909.73538274481</v>
      </c>
      <c r="O129" s="8">
        <f t="shared" ca="1" si="20"/>
        <v>2026739.1181619386</v>
      </c>
      <c r="P129" s="3">
        <f t="shared" ca="1" si="28"/>
        <v>1.261920777695797E-3</v>
      </c>
      <c r="Q129" s="3"/>
      <c r="R129" s="3"/>
      <c r="S129" s="3"/>
    </row>
    <row r="130" spans="1:19" x14ac:dyDescent="0.2">
      <c r="A130" s="45"/>
      <c r="B130" s="45"/>
      <c r="C130" s="3"/>
      <c r="D130" s="44">
        <f t="shared" si="29"/>
        <v>0</v>
      </c>
      <c r="E130" s="44">
        <f t="shared" si="29"/>
        <v>0</v>
      </c>
      <c r="F130" s="8">
        <f t="shared" si="21"/>
        <v>0</v>
      </c>
      <c r="G130" s="8">
        <f t="shared" si="22"/>
        <v>0</v>
      </c>
      <c r="H130" s="8">
        <f t="shared" si="23"/>
        <v>0</v>
      </c>
      <c r="I130" s="8">
        <f t="shared" si="24"/>
        <v>0</v>
      </c>
      <c r="J130" s="8">
        <f t="shared" si="25"/>
        <v>0</v>
      </c>
      <c r="K130" s="8">
        <f t="shared" ca="1" si="30"/>
        <v>-1.261920777695797E-3</v>
      </c>
      <c r="L130" s="8">
        <f t="shared" ca="1" si="27"/>
        <v>1.5924440491803651E-6</v>
      </c>
      <c r="M130" s="8">
        <f t="shared" ca="1" si="18"/>
        <v>45104787.429188266</v>
      </c>
      <c r="N130" s="8">
        <f t="shared" ca="1" si="19"/>
        <v>603909.73538274481</v>
      </c>
      <c r="O130" s="8">
        <f t="shared" ca="1" si="20"/>
        <v>2026739.1181619386</v>
      </c>
      <c r="P130" s="3">
        <f t="shared" ca="1" si="28"/>
        <v>1.261920777695797E-3</v>
      </c>
      <c r="Q130" s="3"/>
      <c r="R130" s="3"/>
      <c r="S130" s="3"/>
    </row>
    <row r="131" spans="1:19" x14ac:dyDescent="0.2">
      <c r="A131" s="45"/>
      <c r="B131" s="45"/>
      <c r="C131" s="3"/>
      <c r="D131" s="44">
        <f t="shared" si="29"/>
        <v>0</v>
      </c>
      <c r="E131" s="44">
        <f t="shared" si="29"/>
        <v>0</v>
      </c>
      <c r="F131" s="8">
        <f t="shared" si="21"/>
        <v>0</v>
      </c>
      <c r="G131" s="8">
        <f t="shared" si="22"/>
        <v>0</v>
      </c>
      <c r="H131" s="8">
        <f t="shared" si="23"/>
        <v>0</v>
      </c>
      <c r="I131" s="8">
        <f t="shared" si="24"/>
        <v>0</v>
      </c>
      <c r="J131" s="8">
        <f t="shared" si="25"/>
        <v>0</v>
      </c>
      <c r="K131" s="8">
        <f t="shared" ca="1" si="30"/>
        <v>-1.261920777695797E-3</v>
      </c>
      <c r="L131" s="8">
        <f t="shared" ca="1" si="27"/>
        <v>1.5924440491803651E-6</v>
      </c>
      <c r="M131" s="8">
        <f t="shared" ca="1" si="18"/>
        <v>45104787.429188266</v>
      </c>
      <c r="N131" s="8">
        <f t="shared" ca="1" si="19"/>
        <v>603909.73538274481</v>
      </c>
      <c r="O131" s="8">
        <f t="shared" ca="1" si="20"/>
        <v>2026739.1181619386</v>
      </c>
      <c r="P131" s="3">
        <f t="shared" ca="1" si="28"/>
        <v>1.261920777695797E-3</v>
      </c>
      <c r="Q131" s="3"/>
      <c r="R131" s="3"/>
      <c r="S131" s="3"/>
    </row>
    <row r="132" spans="1:19" x14ac:dyDescent="0.2">
      <c r="A132" s="45"/>
      <c r="B132" s="45"/>
      <c r="C132" s="3"/>
      <c r="D132" s="44">
        <f t="shared" ref="D132:E144" si="31">A132/A$18</f>
        <v>0</v>
      </c>
      <c r="E132" s="44">
        <f t="shared" si="31"/>
        <v>0</v>
      </c>
      <c r="F132" s="8">
        <f t="shared" si="21"/>
        <v>0</v>
      </c>
      <c r="G132" s="8">
        <f t="shared" si="22"/>
        <v>0</v>
      </c>
      <c r="H132" s="8">
        <f t="shared" si="23"/>
        <v>0</v>
      </c>
      <c r="I132" s="8">
        <f t="shared" si="24"/>
        <v>0</v>
      </c>
      <c r="J132" s="8">
        <f t="shared" si="25"/>
        <v>0</v>
      </c>
      <c r="K132" s="8">
        <f t="shared" ca="1" si="30"/>
        <v>-1.261920777695797E-3</v>
      </c>
      <c r="L132" s="8">
        <f t="shared" ca="1" si="27"/>
        <v>1.5924440491803651E-6</v>
      </c>
      <c r="M132" s="8">
        <f t="shared" ca="1" si="18"/>
        <v>45104787.429188266</v>
      </c>
      <c r="N132" s="8">
        <f t="shared" ca="1" si="19"/>
        <v>603909.73538274481</v>
      </c>
      <c r="O132" s="8">
        <f t="shared" ca="1" si="20"/>
        <v>2026739.1181619386</v>
      </c>
      <c r="P132" s="3">
        <f t="shared" ca="1" si="28"/>
        <v>1.261920777695797E-3</v>
      </c>
      <c r="Q132" s="3"/>
      <c r="R132" s="3"/>
      <c r="S132" s="3"/>
    </row>
    <row r="133" spans="1:19" x14ac:dyDescent="0.2">
      <c r="A133" s="45"/>
      <c r="B133" s="45"/>
      <c r="C133" s="3"/>
      <c r="D133" s="44">
        <f t="shared" si="31"/>
        <v>0</v>
      </c>
      <c r="E133" s="44">
        <f t="shared" si="31"/>
        <v>0</v>
      </c>
      <c r="F133" s="8">
        <f t="shared" si="21"/>
        <v>0</v>
      </c>
      <c r="G133" s="8">
        <f t="shared" si="22"/>
        <v>0</v>
      </c>
      <c r="H133" s="8">
        <f t="shared" si="23"/>
        <v>0</v>
      </c>
      <c r="I133" s="8">
        <f t="shared" si="24"/>
        <v>0</v>
      </c>
      <c r="J133" s="8">
        <f t="shared" si="25"/>
        <v>0</v>
      </c>
      <c r="K133" s="8">
        <f t="shared" ca="1" si="30"/>
        <v>-1.261920777695797E-3</v>
      </c>
      <c r="L133" s="8">
        <f t="shared" ca="1" si="27"/>
        <v>1.5924440491803651E-6</v>
      </c>
      <c r="M133" s="8">
        <f t="shared" ca="1" si="18"/>
        <v>45104787.429188266</v>
      </c>
      <c r="N133" s="8">
        <f t="shared" ca="1" si="19"/>
        <v>603909.73538274481</v>
      </c>
      <c r="O133" s="8">
        <f t="shared" ca="1" si="20"/>
        <v>2026739.1181619386</v>
      </c>
      <c r="P133" s="3">
        <f t="shared" ca="1" si="28"/>
        <v>1.261920777695797E-3</v>
      </c>
      <c r="Q133" s="3"/>
      <c r="R133" s="3"/>
      <c r="S133" s="3"/>
    </row>
    <row r="134" spans="1:19" x14ac:dyDescent="0.2">
      <c r="A134" s="45"/>
      <c r="B134" s="45"/>
      <c r="C134" s="3"/>
      <c r="D134" s="44">
        <f t="shared" si="31"/>
        <v>0</v>
      </c>
      <c r="E134" s="44">
        <f t="shared" si="31"/>
        <v>0</v>
      </c>
      <c r="F134" s="8">
        <f t="shared" si="21"/>
        <v>0</v>
      </c>
      <c r="G134" s="8">
        <f t="shared" si="22"/>
        <v>0</v>
      </c>
      <c r="H134" s="8">
        <f t="shared" si="23"/>
        <v>0</v>
      </c>
      <c r="I134" s="8">
        <f t="shared" si="24"/>
        <v>0</v>
      </c>
      <c r="J134" s="8">
        <f t="shared" si="25"/>
        <v>0</v>
      </c>
      <c r="K134" s="8">
        <f t="shared" ca="1" si="30"/>
        <v>-1.261920777695797E-3</v>
      </c>
      <c r="L134" s="8">
        <f t="shared" ca="1" si="27"/>
        <v>1.5924440491803651E-6</v>
      </c>
      <c r="M134" s="8">
        <f t="shared" ca="1" si="18"/>
        <v>45104787.429188266</v>
      </c>
      <c r="N134" s="8">
        <f t="shared" ca="1" si="19"/>
        <v>603909.73538274481</v>
      </c>
      <c r="O134" s="8">
        <f t="shared" ca="1" si="20"/>
        <v>2026739.1181619386</v>
      </c>
      <c r="P134" s="3">
        <f t="shared" ca="1" si="28"/>
        <v>1.261920777695797E-3</v>
      </c>
      <c r="Q134" s="3"/>
      <c r="R134" s="3"/>
      <c r="S134" s="3"/>
    </row>
    <row r="135" spans="1:19" x14ac:dyDescent="0.2">
      <c r="A135" s="45"/>
      <c r="B135" s="45"/>
      <c r="C135" s="3"/>
      <c r="D135" s="44">
        <f t="shared" si="31"/>
        <v>0</v>
      </c>
      <c r="E135" s="44">
        <f t="shared" si="31"/>
        <v>0</v>
      </c>
      <c r="F135" s="8">
        <f t="shared" si="21"/>
        <v>0</v>
      </c>
      <c r="G135" s="8">
        <f t="shared" si="22"/>
        <v>0</v>
      </c>
      <c r="H135" s="8">
        <f t="shared" si="23"/>
        <v>0</v>
      </c>
      <c r="I135" s="8">
        <f t="shared" si="24"/>
        <v>0</v>
      </c>
      <c r="J135" s="8">
        <f t="shared" si="25"/>
        <v>0</v>
      </c>
      <c r="K135" s="8">
        <f t="shared" ca="1" si="30"/>
        <v>-1.261920777695797E-3</v>
      </c>
      <c r="L135" s="8">
        <f t="shared" ca="1" si="27"/>
        <v>1.5924440491803651E-6</v>
      </c>
      <c r="M135" s="8">
        <f t="shared" ca="1" si="18"/>
        <v>45104787.429188266</v>
      </c>
      <c r="N135" s="8">
        <f t="shared" ca="1" si="19"/>
        <v>603909.73538274481</v>
      </c>
      <c r="O135" s="8">
        <f t="shared" ca="1" si="20"/>
        <v>2026739.1181619386</v>
      </c>
      <c r="P135" s="3">
        <f t="shared" ca="1" si="28"/>
        <v>1.261920777695797E-3</v>
      </c>
      <c r="Q135" s="3"/>
      <c r="R135" s="3"/>
      <c r="S135" s="3"/>
    </row>
    <row r="136" spans="1:19" x14ac:dyDescent="0.2">
      <c r="A136" s="45"/>
      <c r="B136" s="45"/>
      <c r="C136" s="3"/>
      <c r="D136" s="44">
        <f t="shared" si="31"/>
        <v>0</v>
      </c>
      <c r="E136" s="44">
        <f t="shared" si="31"/>
        <v>0</v>
      </c>
      <c r="F136" s="8">
        <f t="shared" si="21"/>
        <v>0</v>
      </c>
      <c r="G136" s="8">
        <f t="shared" si="22"/>
        <v>0</v>
      </c>
      <c r="H136" s="8">
        <f t="shared" si="23"/>
        <v>0</v>
      </c>
      <c r="I136" s="8">
        <f t="shared" si="24"/>
        <v>0</v>
      </c>
      <c r="J136" s="8">
        <f t="shared" si="25"/>
        <v>0</v>
      </c>
      <c r="K136" s="8">
        <f t="shared" ca="1" si="30"/>
        <v>-1.261920777695797E-3</v>
      </c>
      <c r="L136" s="8">
        <f t="shared" ca="1" si="27"/>
        <v>1.5924440491803651E-6</v>
      </c>
      <c r="M136" s="8">
        <f t="shared" ca="1" si="18"/>
        <v>45104787.429188266</v>
      </c>
      <c r="N136" s="8">
        <f t="shared" ca="1" si="19"/>
        <v>603909.73538274481</v>
      </c>
      <c r="O136" s="8">
        <f t="shared" ca="1" si="20"/>
        <v>2026739.1181619386</v>
      </c>
      <c r="P136" s="3">
        <f t="shared" ca="1" si="28"/>
        <v>1.261920777695797E-3</v>
      </c>
      <c r="Q136" s="3"/>
      <c r="R136" s="3"/>
      <c r="S136" s="3"/>
    </row>
    <row r="137" spans="1:19" x14ac:dyDescent="0.2">
      <c r="A137" s="45"/>
      <c r="B137" s="45"/>
      <c r="C137" s="3"/>
      <c r="D137" s="44">
        <f t="shared" si="31"/>
        <v>0</v>
      </c>
      <c r="E137" s="44">
        <f t="shared" si="31"/>
        <v>0</v>
      </c>
      <c r="F137" s="8">
        <f t="shared" si="21"/>
        <v>0</v>
      </c>
      <c r="G137" s="8">
        <f t="shared" si="22"/>
        <v>0</v>
      </c>
      <c r="H137" s="8">
        <f t="shared" si="23"/>
        <v>0</v>
      </c>
      <c r="I137" s="8">
        <f t="shared" si="24"/>
        <v>0</v>
      </c>
      <c r="J137" s="8">
        <f t="shared" si="25"/>
        <v>0</v>
      </c>
      <c r="K137" s="8">
        <f t="shared" ca="1" si="30"/>
        <v>-1.261920777695797E-3</v>
      </c>
      <c r="L137" s="8">
        <f t="shared" ca="1" si="27"/>
        <v>1.5924440491803651E-6</v>
      </c>
      <c r="M137" s="8">
        <f t="shared" ca="1" si="18"/>
        <v>45104787.429188266</v>
      </c>
      <c r="N137" s="8">
        <f t="shared" ca="1" si="19"/>
        <v>603909.73538274481</v>
      </c>
      <c r="O137" s="8">
        <f t="shared" ca="1" si="20"/>
        <v>2026739.1181619386</v>
      </c>
      <c r="P137" s="3">
        <f t="shared" ca="1" si="28"/>
        <v>1.261920777695797E-3</v>
      </c>
      <c r="Q137" s="3"/>
      <c r="R137" s="3"/>
      <c r="S137" s="3"/>
    </row>
    <row r="138" spans="1:19" x14ac:dyDescent="0.2">
      <c r="A138" s="45"/>
      <c r="B138" s="45"/>
      <c r="C138" s="3"/>
      <c r="D138" s="44">
        <f t="shared" si="31"/>
        <v>0</v>
      </c>
      <c r="E138" s="44">
        <f t="shared" si="31"/>
        <v>0</v>
      </c>
      <c r="F138" s="8">
        <f t="shared" si="21"/>
        <v>0</v>
      </c>
      <c r="G138" s="8">
        <f t="shared" si="22"/>
        <v>0</v>
      </c>
      <c r="H138" s="8">
        <f t="shared" si="23"/>
        <v>0</v>
      </c>
      <c r="I138" s="8">
        <f t="shared" si="24"/>
        <v>0</v>
      </c>
      <c r="J138" s="8">
        <f t="shared" si="25"/>
        <v>0</v>
      </c>
      <c r="K138" s="8">
        <f t="shared" ca="1" si="30"/>
        <v>-1.261920777695797E-3</v>
      </c>
      <c r="L138" s="8">
        <f t="shared" ca="1" si="27"/>
        <v>1.5924440491803651E-6</v>
      </c>
      <c r="M138" s="8">
        <f t="shared" ca="1" si="18"/>
        <v>45104787.429188266</v>
      </c>
      <c r="N138" s="8">
        <f t="shared" ca="1" si="19"/>
        <v>603909.73538274481</v>
      </c>
      <c r="O138" s="8">
        <f t="shared" ca="1" si="20"/>
        <v>2026739.1181619386</v>
      </c>
      <c r="P138" s="3">
        <f t="shared" ca="1" si="28"/>
        <v>1.261920777695797E-3</v>
      </c>
      <c r="Q138" s="3"/>
      <c r="R138" s="3"/>
      <c r="S138" s="3"/>
    </row>
    <row r="139" spans="1:19" x14ac:dyDescent="0.2">
      <c r="A139" s="45"/>
      <c r="B139" s="45"/>
      <c r="C139" s="3"/>
      <c r="D139" s="44">
        <f t="shared" si="31"/>
        <v>0</v>
      </c>
      <c r="E139" s="44">
        <f t="shared" si="31"/>
        <v>0</v>
      </c>
      <c r="F139" s="8">
        <f t="shared" si="21"/>
        <v>0</v>
      </c>
      <c r="G139" s="8">
        <f t="shared" si="22"/>
        <v>0</v>
      </c>
      <c r="H139" s="8">
        <f t="shared" si="23"/>
        <v>0</v>
      </c>
      <c r="I139" s="8">
        <f t="shared" si="24"/>
        <v>0</v>
      </c>
      <c r="J139" s="8">
        <f t="shared" si="25"/>
        <v>0</v>
      </c>
      <c r="K139" s="8">
        <f t="shared" ca="1" si="30"/>
        <v>-1.261920777695797E-3</v>
      </c>
      <c r="L139" s="8">
        <f t="shared" ca="1" si="27"/>
        <v>1.5924440491803651E-6</v>
      </c>
      <c r="M139" s="8">
        <f t="shared" ca="1" si="18"/>
        <v>45104787.429188266</v>
      </c>
      <c r="N139" s="8">
        <f t="shared" ca="1" si="19"/>
        <v>603909.73538274481</v>
      </c>
      <c r="O139" s="8">
        <f t="shared" ca="1" si="20"/>
        <v>2026739.1181619386</v>
      </c>
      <c r="P139" s="3">
        <f t="shared" ca="1" si="28"/>
        <v>1.261920777695797E-3</v>
      </c>
      <c r="Q139" s="3"/>
      <c r="R139" s="3"/>
      <c r="S139" s="3"/>
    </row>
    <row r="140" spans="1:19" x14ac:dyDescent="0.2">
      <c r="A140" s="45"/>
      <c r="B140" s="45"/>
      <c r="C140" s="3"/>
      <c r="D140" s="44">
        <f t="shared" si="31"/>
        <v>0</v>
      </c>
      <c r="E140" s="44">
        <f t="shared" si="31"/>
        <v>0</v>
      </c>
      <c r="F140" s="8">
        <f t="shared" si="21"/>
        <v>0</v>
      </c>
      <c r="G140" s="8">
        <f t="shared" si="22"/>
        <v>0</v>
      </c>
      <c r="H140" s="8">
        <f t="shared" si="23"/>
        <v>0</v>
      </c>
      <c r="I140" s="8">
        <f t="shared" si="24"/>
        <v>0</v>
      </c>
      <c r="J140" s="8">
        <f t="shared" si="25"/>
        <v>0</v>
      </c>
      <c r="K140" s="8">
        <f t="shared" ca="1" si="30"/>
        <v>-1.261920777695797E-3</v>
      </c>
      <c r="L140" s="8">
        <f t="shared" ca="1" si="27"/>
        <v>1.5924440491803651E-6</v>
      </c>
      <c r="M140" s="8">
        <f t="shared" ca="1" si="18"/>
        <v>45104787.429188266</v>
      </c>
      <c r="N140" s="8">
        <f t="shared" ca="1" si="19"/>
        <v>603909.73538274481</v>
      </c>
      <c r="O140" s="8">
        <f t="shared" ca="1" si="20"/>
        <v>2026739.1181619386</v>
      </c>
      <c r="P140" s="3">
        <f t="shared" ca="1" si="28"/>
        <v>1.261920777695797E-3</v>
      </c>
      <c r="Q140" s="3"/>
      <c r="R140" s="3"/>
      <c r="S140" s="3"/>
    </row>
    <row r="141" spans="1:19" x14ac:dyDescent="0.2">
      <c r="A141" s="45"/>
      <c r="B141" s="45"/>
      <c r="C141" s="3"/>
      <c r="D141" s="44">
        <f t="shared" si="31"/>
        <v>0</v>
      </c>
      <c r="E141" s="44">
        <f t="shared" si="31"/>
        <v>0</v>
      </c>
      <c r="F141" s="8">
        <f t="shared" si="21"/>
        <v>0</v>
      </c>
      <c r="G141" s="8">
        <f t="shared" si="22"/>
        <v>0</v>
      </c>
      <c r="H141" s="8">
        <f t="shared" si="23"/>
        <v>0</v>
      </c>
      <c r="I141" s="8">
        <f t="shared" si="24"/>
        <v>0</v>
      </c>
      <c r="J141" s="8">
        <f t="shared" si="25"/>
        <v>0</v>
      </c>
      <c r="K141" s="8">
        <f t="shared" ca="1" si="30"/>
        <v>-1.261920777695797E-3</v>
      </c>
      <c r="L141" s="8">
        <f t="shared" ca="1" si="27"/>
        <v>1.5924440491803651E-6</v>
      </c>
      <c r="M141" s="8">
        <f t="shared" ca="1" si="18"/>
        <v>45104787.429188266</v>
      </c>
      <c r="N141" s="8">
        <f t="shared" ca="1" si="19"/>
        <v>603909.73538274481</v>
      </c>
      <c r="O141" s="8">
        <f t="shared" ca="1" si="20"/>
        <v>2026739.1181619386</v>
      </c>
      <c r="P141" s="3">
        <f t="shared" ca="1" si="28"/>
        <v>1.261920777695797E-3</v>
      </c>
      <c r="Q141" s="3"/>
      <c r="R141" s="3"/>
      <c r="S141" s="3"/>
    </row>
    <row r="142" spans="1:19" x14ac:dyDescent="0.2">
      <c r="A142" s="45"/>
      <c r="B142" s="45"/>
      <c r="C142" s="3"/>
      <c r="D142" s="44">
        <f t="shared" si="31"/>
        <v>0</v>
      </c>
      <c r="E142" s="44">
        <f t="shared" si="31"/>
        <v>0</v>
      </c>
      <c r="F142" s="8">
        <f t="shared" si="21"/>
        <v>0</v>
      </c>
      <c r="G142" s="8">
        <f t="shared" si="22"/>
        <v>0</v>
      </c>
      <c r="H142" s="8">
        <f t="shared" si="23"/>
        <v>0</v>
      </c>
      <c r="I142" s="8">
        <f t="shared" si="24"/>
        <v>0</v>
      </c>
      <c r="J142" s="8">
        <f t="shared" si="25"/>
        <v>0</v>
      </c>
      <c r="K142" s="8">
        <f t="shared" ca="1" si="30"/>
        <v>-1.261920777695797E-3</v>
      </c>
      <c r="L142" s="8">
        <f t="shared" ca="1" si="27"/>
        <v>1.5924440491803651E-6</v>
      </c>
      <c r="M142" s="8">
        <f t="shared" ca="1" si="18"/>
        <v>45104787.429188266</v>
      </c>
      <c r="N142" s="8">
        <f t="shared" ca="1" si="19"/>
        <v>603909.73538274481</v>
      </c>
      <c r="O142" s="8">
        <f t="shared" ca="1" si="20"/>
        <v>2026739.1181619386</v>
      </c>
      <c r="P142" s="3">
        <f t="shared" ca="1" si="28"/>
        <v>1.261920777695797E-3</v>
      </c>
      <c r="Q142" s="3"/>
      <c r="R142" s="3"/>
      <c r="S142" s="3"/>
    </row>
    <row r="143" spans="1:19" x14ac:dyDescent="0.2">
      <c r="A143" s="45"/>
      <c r="B143" s="45"/>
      <c r="C143" s="3"/>
      <c r="D143" s="44">
        <f t="shared" si="31"/>
        <v>0</v>
      </c>
      <c r="E143" s="44">
        <f t="shared" si="31"/>
        <v>0</v>
      </c>
      <c r="F143" s="8">
        <f t="shared" si="21"/>
        <v>0</v>
      </c>
      <c r="G143" s="8">
        <f t="shared" si="22"/>
        <v>0</v>
      </c>
      <c r="H143" s="8">
        <f t="shared" si="23"/>
        <v>0</v>
      </c>
      <c r="I143" s="8">
        <f t="shared" si="24"/>
        <v>0</v>
      </c>
      <c r="J143" s="8">
        <f t="shared" si="25"/>
        <v>0</v>
      </c>
      <c r="K143" s="8">
        <f t="shared" ca="1" si="30"/>
        <v>-1.261920777695797E-3</v>
      </c>
      <c r="L143" s="8">
        <f t="shared" ca="1" si="27"/>
        <v>1.5924440491803651E-6</v>
      </c>
      <c r="M143" s="8">
        <f t="shared" ca="1" si="18"/>
        <v>45104787.429188266</v>
      </c>
      <c r="N143" s="8">
        <f t="shared" ca="1" si="19"/>
        <v>603909.73538274481</v>
      </c>
      <c r="O143" s="8">
        <f t="shared" ca="1" si="20"/>
        <v>2026739.1181619386</v>
      </c>
      <c r="P143" s="3">
        <f t="shared" ca="1" si="28"/>
        <v>1.261920777695797E-3</v>
      </c>
      <c r="Q143" s="3"/>
      <c r="R143" s="3"/>
      <c r="S143" s="3"/>
    </row>
    <row r="144" spans="1:19" x14ac:dyDescent="0.2">
      <c r="A144" s="45"/>
      <c r="B144" s="45"/>
      <c r="C144" s="3"/>
      <c r="D144" s="44">
        <f t="shared" si="31"/>
        <v>0</v>
      </c>
      <c r="E144" s="44">
        <f t="shared" si="31"/>
        <v>0</v>
      </c>
      <c r="F144" s="8">
        <f t="shared" si="21"/>
        <v>0</v>
      </c>
      <c r="G144" s="8">
        <f t="shared" si="22"/>
        <v>0</v>
      </c>
      <c r="H144" s="8">
        <f t="shared" si="23"/>
        <v>0</v>
      </c>
      <c r="I144" s="8">
        <f t="shared" si="24"/>
        <v>0</v>
      </c>
      <c r="J144" s="8">
        <f t="shared" si="25"/>
        <v>0</v>
      </c>
      <c r="K144" s="8">
        <f t="shared" ca="1" si="30"/>
        <v>-1.261920777695797E-3</v>
      </c>
      <c r="L144" s="8">
        <f t="shared" ca="1" si="27"/>
        <v>1.5924440491803651E-6</v>
      </c>
      <c r="M144" s="8">
        <f t="shared" ca="1" si="18"/>
        <v>45104787.429188266</v>
      </c>
      <c r="N144" s="8">
        <f t="shared" ca="1" si="19"/>
        <v>603909.73538274481</v>
      </c>
      <c r="O144" s="8">
        <f t="shared" ca="1" si="20"/>
        <v>2026739.1181619386</v>
      </c>
      <c r="P144" s="3">
        <f t="shared" ca="1" si="28"/>
        <v>1.261920777695797E-3</v>
      </c>
      <c r="Q144" s="3"/>
      <c r="R144" s="3"/>
      <c r="S144" s="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2002-07-31T23:29:06Z</dcterms:created>
  <dcterms:modified xsi:type="dcterms:W3CDTF">2024-02-04T03:35:58Z</dcterms:modified>
</cp:coreProperties>
</file>