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7E98EF6-7D7D-429E-9C38-F01E250CC1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2" i="1" l="1"/>
  <c r="F62" i="1" s="1"/>
  <c r="G62" i="1" s="1"/>
  <c r="K62" i="1" s="1"/>
  <c r="Q62" i="1"/>
  <c r="D9" i="1"/>
  <c r="C9" i="1"/>
  <c r="Q61" i="1"/>
  <c r="Q58" i="1"/>
  <c r="Q57" i="1"/>
  <c r="Q55" i="1"/>
  <c r="Q54" i="1"/>
  <c r="Q53" i="1"/>
  <c r="Q52" i="1"/>
  <c r="Q51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4" i="1"/>
  <c r="Q23" i="1"/>
  <c r="Q22" i="1"/>
  <c r="Q21" i="1"/>
  <c r="Q60" i="1"/>
  <c r="G11" i="2"/>
  <c r="C11" i="2"/>
  <c r="G19" i="2"/>
  <c r="C19" i="2"/>
  <c r="G49" i="2"/>
  <c r="C49" i="2"/>
  <c r="G48" i="2"/>
  <c r="C48" i="2"/>
  <c r="G18" i="2"/>
  <c r="C18" i="2"/>
  <c r="G47" i="2"/>
  <c r="C47" i="2"/>
  <c r="G46" i="2"/>
  <c r="C46" i="2"/>
  <c r="G45" i="2"/>
  <c r="C45" i="2"/>
  <c r="G44" i="2"/>
  <c r="C44" i="2"/>
  <c r="G43" i="2"/>
  <c r="C43" i="2"/>
  <c r="G17" i="2"/>
  <c r="C17" i="2"/>
  <c r="G16" i="2"/>
  <c r="C16" i="2"/>
  <c r="G15" i="2"/>
  <c r="C15" i="2"/>
  <c r="G14" i="2"/>
  <c r="C14" i="2"/>
  <c r="G13" i="2"/>
  <c r="C13" i="2"/>
  <c r="G12" i="2"/>
  <c r="C12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H11" i="2"/>
  <c r="B11" i="2"/>
  <c r="D11" i="2"/>
  <c r="A11" i="2"/>
  <c r="H19" i="2"/>
  <c r="D19" i="2"/>
  <c r="B19" i="2"/>
  <c r="A19" i="2"/>
  <c r="H49" i="2"/>
  <c r="B49" i="2"/>
  <c r="D49" i="2"/>
  <c r="A49" i="2"/>
  <c r="H48" i="2"/>
  <c r="D48" i="2"/>
  <c r="B48" i="2"/>
  <c r="A48" i="2"/>
  <c r="H18" i="2"/>
  <c r="B18" i="2"/>
  <c r="D18" i="2"/>
  <c r="A1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Q56" i="1"/>
  <c r="Q59" i="1"/>
  <c r="F16" i="1"/>
  <c r="Q50" i="1"/>
  <c r="C17" i="1"/>
  <c r="Q48" i="1"/>
  <c r="Q49" i="1"/>
  <c r="Q45" i="1"/>
  <c r="Q46" i="1"/>
  <c r="Q47" i="1"/>
  <c r="C7" i="1"/>
  <c r="E61" i="1"/>
  <c r="F61" i="1"/>
  <c r="C8" i="1"/>
  <c r="Q25" i="1"/>
  <c r="E46" i="2"/>
  <c r="E29" i="2"/>
  <c r="E41" i="2"/>
  <c r="E16" i="2"/>
  <c r="E43" i="2"/>
  <c r="E12" i="2"/>
  <c r="E17" i="2"/>
  <c r="E37" i="2"/>
  <c r="E48" i="2"/>
  <c r="E33" i="2"/>
  <c r="E45" i="2"/>
  <c r="E14" i="2"/>
  <c r="E34" i="1"/>
  <c r="F34" i="1"/>
  <c r="G28" i="1"/>
  <c r="I28" i="1"/>
  <c r="E26" i="1"/>
  <c r="F26" i="1"/>
  <c r="E60" i="1"/>
  <c r="F60" i="1"/>
  <c r="G54" i="1"/>
  <c r="I54" i="1"/>
  <c r="E52" i="1"/>
  <c r="F52" i="1"/>
  <c r="G52" i="1"/>
  <c r="I52" i="1"/>
  <c r="E43" i="1"/>
  <c r="F43" i="1"/>
  <c r="E39" i="1"/>
  <c r="F39" i="1"/>
  <c r="G39" i="1"/>
  <c r="I39" i="1"/>
  <c r="G33" i="1"/>
  <c r="I33" i="1"/>
  <c r="E31" i="1"/>
  <c r="F31" i="1"/>
  <c r="E22" i="1"/>
  <c r="F22" i="1"/>
  <c r="G22" i="1"/>
  <c r="I22" i="1"/>
  <c r="E57" i="1"/>
  <c r="F57" i="1"/>
  <c r="E49" i="1"/>
  <c r="F49" i="1"/>
  <c r="E40" i="1"/>
  <c r="G38" i="1"/>
  <c r="I38" i="1"/>
  <c r="E36" i="1"/>
  <c r="F36" i="1"/>
  <c r="G36" i="1"/>
  <c r="I36" i="1"/>
  <c r="E28" i="1"/>
  <c r="F28" i="1"/>
  <c r="G21" i="1"/>
  <c r="I21" i="1"/>
  <c r="E54" i="1"/>
  <c r="F54" i="1"/>
  <c r="E45" i="1"/>
  <c r="F45" i="1"/>
  <c r="G45" i="1"/>
  <c r="G35" i="1"/>
  <c r="I35" i="1"/>
  <c r="E33" i="1"/>
  <c r="F33" i="1"/>
  <c r="E24" i="1"/>
  <c r="F24" i="1"/>
  <c r="G24" i="1"/>
  <c r="I24" i="1"/>
  <c r="E59" i="1"/>
  <c r="F59" i="1"/>
  <c r="G59" i="1"/>
  <c r="J59" i="1"/>
  <c r="E51" i="1"/>
  <c r="F51" i="1"/>
  <c r="G51" i="1"/>
  <c r="I51" i="1"/>
  <c r="E42" i="1"/>
  <c r="F42" i="1"/>
  <c r="G42" i="1"/>
  <c r="I42" i="1"/>
  <c r="E38" i="1"/>
  <c r="F38" i="1"/>
  <c r="E30" i="1"/>
  <c r="F30" i="1"/>
  <c r="G30" i="1"/>
  <c r="I30" i="1"/>
  <c r="E21" i="1"/>
  <c r="F21" i="1"/>
  <c r="E56" i="1"/>
  <c r="F56" i="1"/>
  <c r="G56" i="1"/>
  <c r="J56" i="1"/>
  <c r="E48" i="1"/>
  <c r="G37" i="1"/>
  <c r="I37" i="1"/>
  <c r="E35" i="1"/>
  <c r="F35" i="1"/>
  <c r="E27" i="1"/>
  <c r="F27" i="1"/>
  <c r="G27" i="1"/>
  <c r="I27" i="1"/>
  <c r="E46" i="1"/>
  <c r="F46" i="1"/>
  <c r="E53" i="1"/>
  <c r="F53" i="1"/>
  <c r="G53" i="1"/>
  <c r="I53" i="1"/>
  <c r="G47" i="1"/>
  <c r="I47" i="1"/>
  <c r="E44" i="1"/>
  <c r="F44" i="1"/>
  <c r="G44" i="1"/>
  <c r="I44" i="1"/>
  <c r="G61" i="1"/>
  <c r="K61" i="1"/>
  <c r="E25" i="1"/>
  <c r="F25" i="1"/>
  <c r="G25" i="1"/>
  <c r="H25" i="1"/>
  <c r="G34" i="1"/>
  <c r="I34" i="1"/>
  <c r="E32" i="1"/>
  <c r="G26" i="1"/>
  <c r="I26" i="1"/>
  <c r="E23" i="1"/>
  <c r="G60" i="1"/>
  <c r="J60" i="1"/>
  <c r="E58" i="1"/>
  <c r="F58" i="1"/>
  <c r="G58" i="1"/>
  <c r="I58" i="1"/>
  <c r="E50" i="1"/>
  <c r="F50" i="1"/>
  <c r="G50" i="1"/>
  <c r="K50" i="1"/>
  <c r="G43" i="1"/>
  <c r="I43" i="1"/>
  <c r="E41" i="1"/>
  <c r="F41" i="1"/>
  <c r="G41" i="1"/>
  <c r="I41" i="1"/>
  <c r="E37" i="1"/>
  <c r="F37" i="1"/>
  <c r="G31" i="1"/>
  <c r="I31" i="1"/>
  <c r="E29" i="1"/>
  <c r="F29" i="1"/>
  <c r="G29" i="1"/>
  <c r="I29" i="1"/>
  <c r="G57" i="1"/>
  <c r="I57" i="1"/>
  <c r="E55" i="1"/>
  <c r="F55" i="1"/>
  <c r="G55" i="1"/>
  <c r="I55" i="1"/>
  <c r="G49" i="1"/>
  <c r="J49" i="1"/>
  <c r="E47" i="1"/>
  <c r="F47" i="1"/>
  <c r="K45" i="1"/>
  <c r="F32" i="1"/>
  <c r="G32" i="1"/>
  <c r="I32" i="1"/>
  <c r="E30" i="2"/>
  <c r="E28" i="2"/>
  <c r="E44" i="2"/>
  <c r="E25" i="2"/>
  <c r="E39" i="2"/>
  <c r="E35" i="2"/>
  <c r="E32" i="2"/>
  <c r="E13" i="2"/>
  <c r="E36" i="2"/>
  <c r="E34" i="2"/>
  <c r="E38" i="2"/>
  <c r="F40" i="1"/>
  <c r="G40" i="1"/>
  <c r="I40" i="1"/>
  <c r="E11" i="2"/>
  <c r="E27" i="2"/>
  <c r="E31" i="2"/>
  <c r="E24" i="2"/>
  <c r="E19" i="2"/>
  <c r="F23" i="1"/>
  <c r="G23" i="1"/>
  <c r="I23" i="1"/>
  <c r="E22" i="2"/>
  <c r="F48" i="1"/>
  <c r="G48" i="1"/>
  <c r="E15" i="2"/>
  <c r="E26" i="2"/>
  <c r="E18" i="2"/>
  <c r="E23" i="2"/>
  <c r="E21" i="2"/>
  <c r="E20" i="2"/>
  <c r="E47" i="2"/>
  <c r="E40" i="2"/>
  <c r="E49" i="2"/>
  <c r="E42" i="2"/>
  <c r="J48" i="1"/>
  <c r="C12" i="1"/>
  <c r="C11" i="1"/>
  <c r="O62" i="1" l="1"/>
  <c r="C16" i="1"/>
  <c r="D18" i="1" s="1"/>
  <c r="O28" i="1"/>
  <c r="O21" i="1"/>
  <c r="O54" i="1"/>
  <c r="O49" i="1"/>
  <c r="O26" i="1"/>
  <c r="O55" i="1"/>
  <c r="O48" i="1"/>
  <c r="O40" i="1"/>
  <c r="O47" i="1"/>
  <c r="O45" i="1"/>
  <c r="O29" i="1"/>
  <c r="O41" i="1"/>
  <c r="O46" i="1"/>
  <c r="O32" i="1"/>
  <c r="O56" i="1"/>
  <c r="O25" i="1"/>
  <c r="O38" i="1"/>
  <c r="O33" i="1"/>
  <c r="O43" i="1"/>
  <c r="O23" i="1"/>
  <c r="O50" i="1"/>
  <c r="O53" i="1"/>
  <c r="O22" i="1"/>
  <c r="O24" i="1"/>
  <c r="O35" i="1"/>
  <c r="O51" i="1"/>
  <c r="O61" i="1"/>
  <c r="O39" i="1"/>
  <c r="O31" i="1"/>
  <c r="O52" i="1"/>
  <c r="O27" i="1"/>
  <c r="O37" i="1"/>
  <c r="O57" i="1"/>
  <c r="O44" i="1"/>
  <c r="O59" i="1"/>
  <c r="O36" i="1"/>
  <c r="O30" i="1"/>
  <c r="O58" i="1"/>
  <c r="O60" i="1"/>
  <c r="O34" i="1"/>
  <c r="C15" i="1"/>
  <c r="O42" i="1"/>
  <c r="F17" i="1"/>
  <c r="C18" i="1" l="1"/>
  <c r="F18" i="1"/>
  <c r="F19" i="1" s="1"/>
</calcChain>
</file>

<file path=xl/sharedStrings.xml><?xml version="1.0" encoding="utf-8"?>
<sst xmlns="http://schemas.openxmlformats.org/spreadsheetml/2006/main" count="466" uniqueCount="220">
  <si>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</si>
  <si>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</si>
  <si>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</si>
  <si>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</si>
  <si>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</si>
  <si>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</si>
  <si>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</si>
  <si>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</si>
  <si>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</si>
  <si>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</si>
  <si>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</si>
  <si>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</si>
  <si>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</si>
  <si>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</si>
  <si>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</si>
  <si>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</si>
  <si>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</si>
  <si>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</si>
  <si>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</si>
  <si>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</si>
  <si>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</si>
  <si>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</si>
  <si>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</si>
  <si>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</si>
  <si>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</si>
  <si>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</si>
  <si>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</si>
  <si>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</si>
  <si>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</si>
  <si>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Vandenbroere J</t>
  </si>
  <si>
    <t>BBSAG Bull.102</t>
  </si>
  <si>
    <t>B</t>
  </si>
  <si>
    <t>BBSAG Bull.105</t>
  </si>
  <si>
    <t>BBSAG Bull.107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</si>
  <si>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</si>
  <si>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</si>
  <si>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</si>
  <si>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</si>
  <si>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</si>
  <si>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</si>
  <si>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EB/DM</t>
  </si>
  <si>
    <t>IBVS 5761</t>
  </si>
  <si>
    <t>II</t>
  </si>
  <si>
    <t>V1018 Cyg / GSC 2674-3450</t>
  </si>
  <si>
    <t>Start of linear fit &gt;&gt;&gt;&gt;&gt;&gt;&gt;&gt;&gt;&gt;&gt;&gt;&gt;&gt;&gt;&gt;&gt;&gt;&gt;&gt;&gt;</t>
  </si>
  <si>
    <t>OEJV 0074</t>
  </si>
  <si>
    <t>I</t>
  </si>
  <si>
    <t>IBVS 6070</t>
  </si>
  <si>
    <t>Add cycle</t>
  </si>
  <si>
    <t>Old Cycle</t>
  </si>
  <si>
    <t>IBVS 5984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</si>
  <si>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</si>
  <si>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</si>
  <si>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</si>
  <si>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</si>
  <si>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</si>
  <si>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</si>
  <si>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</si>
  <si>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</si>
  <si>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</si>
  <si>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</si>
  <si>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</si>
  <si>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</si>
  <si>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</si>
  <si>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2432775.450 </t>
  </si>
  <si>
    <t> 11.08.1948 22:48 </t>
  </si>
  <si>
    <t> -0.037 </t>
  </si>
  <si>
    <t>P </t>
  </si>
  <si>
    <t> A.A.Wachmann </t>
  </si>
  <si>
    <t> AHSB 6.1.60 </t>
  </si>
  <si>
    <t>2432793.395 </t>
  </si>
  <si>
    <t> 29.08.1948 21:28 </t>
  </si>
  <si>
    <t> 0.048 </t>
  </si>
  <si>
    <t>2433504.500 </t>
  </si>
  <si>
    <t> 11.08.1950 00:00 </t>
  </si>
  <si>
    <t> -0.017 </t>
  </si>
  <si>
    <t>2434121.520 </t>
  </si>
  <si>
    <t> 19.04.1952 00:28 </t>
  </si>
  <si>
    <t> 0.007 </t>
  </si>
  <si>
    <t>2434134.510 </t>
  </si>
  <si>
    <t> 02.05.1952 00:14 </t>
  </si>
  <si>
    <t> 0.008 </t>
  </si>
  <si>
    <t>2434238.430 </t>
  </si>
  <si>
    <t> 13.08.1952 22:19 </t>
  </si>
  <si>
    <t> 0.012 </t>
  </si>
  <si>
    <t>2434600.505 </t>
  </si>
  <si>
    <t> 11.08.1953 00:07 </t>
  </si>
  <si>
    <t>2434626.470 </t>
  </si>
  <si>
    <t> 05.09.1953 23:16 </t>
  </si>
  <si>
    <t> -0.006 </t>
  </si>
  <si>
    <t>2434980.430 </t>
  </si>
  <si>
    <t> 25.08.1954 22:19 </t>
  </si>
  <si>
    <t> -0.007 </t>
  </si>
  <si>
    <t>2435019.390 </t>
  </si>
  <si>
    <t> 03.10.1954 21:21 </t>
  </si>
  <si>
    <t> -0.015 </t>
  </si>
  <si>
    <t>2435303.550 </t>
  </si>
  <si>
    <t> 15.07.1955 01:12 </t>
  </si>
  <si>
    <t> 0.002 </t>
  </si>
  <si>
    <t>2435360.380 </t>
  </si>
  <si>
    <t> 09.09.1955 21:07 </t>
  </si>
  <si>
    <t> 0.003 </t>
  </si>
  <si>
    <t>2435373.368 </t>
  </si>
  <si>
    <t> 22.09.1955 20:49 </t>
  </si>
  <si>
    <t>2436818.411 </t>
  </si>
  <si>
    <t> 06.09.1959 21:51 </t>
  </si>
  <si>
    <t> -0.026 </t>
  </si>
  <si>
    <t> K.Häussler </t>
  </si>
  <si>
    <t> HABZ 30 </t>
  </si>
  <si>
    <t>2437190.326 </t>
  </si>
  <si>
    <t> 12.09.1960 19:49 </t>
  </si>
  <si>
    <t> 0.068 </t>
  </si>
  <si>
    <t>2437194.327 </t>
  </si>
  <si>
    <t> 16.09.1960 19:50 </t>
  </si>
  <si>
    <t> 0.009 </t>
  </si>
  <si>
    <t>2437582.380 </t>
  </si>
  <si>
    <t> 09.10.1961 21:07 </t>
  </si>
  <si>
    <t> 0.004 </t>
  </si>
  <si>
    <t>2437927.378 </t>
  </si>
  <si>
    <t> 19.09.1962 21:04 </t>
  </si>
  <si>
    <t> -0.029 </t>
  </si>
  <si>
    <t>2437940.394 </t>
  </si>
  <si>
    <t> 02.10.1962 21:27 </t>
  </si>
  <si>
    <t> -0.002 </t>
  </si>
  <si>
    <t>2438233.488 </t>
  </si>
  <si>
    <t> 22.07.1963 23:42 </t>
  </si>
  <si>
    <t> 0.019 </t>
  </si>
  <si>
    <t>2438255.380 </t>
  </si>
  <si>
    <t> 13.08.1963 21:07 </t>
  </si>
  <si>
    <t> -0.009 </t>
  </si>
  <si>
    <t>2438372.257 </t>
  </si>
  <si>
    <t> 08.12.1963 18:10 </t>
  </si>
  <si>
    <t>2447763.570 </t>
  </si>
  <si>
    <t> 25.08.1989 01:40 </t>
  </si>
  <si>
    <t> -0.059 </t>
  </si>
  <si>
    <t> P.Frank </t>
  </si>
  <si>
    <t>BAVM 56 </t>
  </si>
  <si>
    <t>2448877.427 </t>
  </si>
  <si>
    <t> 11.09.1992 22:14 </t>
  </si>
  <si>
    <t> -0.043 </t>
  </si>
  <si>
    <t>V </t>
  </si>
  <si>
    <t> J.Vandenbroere </t>
  </si>
  <si>
    <t> BBS 102 </t>
  </si>
  <si>
    <t>2449200.494 </t>
  </si>
  <si>
    <t> 31.07.1993 23:51 </t>
  </si>
  <si>
    <t> -0.087 </t>
  </si>
  <si>
    <t> BBS 105 </t>
  </si>
  <si>
    <t>2449296.325 </t>
  </si>
  <si>
    <t> 04.11.1993 19:48 </t>
  </si>
  <si>
    <t> -0.053 </t>
  </si>
  <si>
    <t> BBS 106 </t>
  </si>
  <si>
    <t>2450693.4812 </t>
  </si>
  <si>
    <t> 01.09.1997 23:32 </t>
  </si>
  <si>
    <t> -0.0686 </t>
  </si>
  <si>
    <t>C </t>
  </si>
  <si>
    <t>o</t>
  </si>
  <si>
    <t>BAVM 183 </t>
  </si>
  <si>
    <t>2454025.2570 </t>
  </si>
  <si>
    <t> 16.10.2006 18:10 </t>
  </si>
  <si>
    <t> -0.0735 </t>
  </si>
  <si>
    <t>-I</t>
  </si>
  <si>
    <t>2454339.42395 </t>
  </si>
  <si>
    <t> 26.08.2007 22:10 </t>
  </si>
  <si>
    <t>12452</t>
  </si>
  <si>
    <t> -0.08766 </t>
  </si>
  <si>
    <t>R</t>
  </si>
  <si>
    <t> L.Brát </t>
  </si>
  <si>
    <t>OEJV 0074 </t>
  </si>
  <si>
    <t>2454339.4272 </t>
  </si>
  <si>
    <t> 26.08.2007 22:15 </t>
  </si>
  <si>
    <t> -0.0844 </t>
  </si>
  <si>
    <t> F.Agerer </t>
  </si>
  <si>
    <t>BAVM 193 </t>
  </si>
  <si>
    <t>2454365.4057 </t>
  </si>
  <si>
    <t> 21.09.2007 21:44 </t>
  </si>
  <si>
    <t>12468</t>
  </si>
  <si>
    <t> -0.0847 </t>
  </si>
  <si>
    <t>2454649.5479 </t>
  </si>
  <si>
    <t> 02.07.2008 01:08 </t>
  </si>
  <si>
    <t>12643</t>
  </si>
  <si>
    <t> -0.0856 </t>
  </si>
  <si>
    <t>BAVM 203 </t>
  </si>
  <si>
    <t>2454697.4463 </t>
  </si>
  <si>
    <t> 18.08.2008 22:42 </t>
  </si>
  <si>
    <t>12672.5</t>
  </si>
  <si>
    <t>2455125.2817 </t>
  </si>
  <si>
    <t> 20.10.2009 18:45 </t>
  </si>
  <si>
    <t>12936</t>
  </si>
  <si>
    <t> -0.0885 </t>
  </si>
  <si>
    <t> M.Rätz &amp; K.Rätz </t>
  </si>
  <si>
    <t>BAVM 214 </t>
  </si>
  <si>
    <t>2455461.3830 </t>
  </si>
  <si>
    <t> 21.09.2010 21:11 </t>
  </si>
  <si>
    <t>13143</t>
  </si>
  <si>
    <t> -0.0879 </t>
  </si>
  <si>
    <t>BAVM 215 </t>
  </si>
  <si>
    <t>2455741.4626 </t>
  </si>
  <si>
    <t> 28.06.2011 23:06 </t>
  </si>
  <si>
    <t>13315.5</t>
  </si>
  <si>
    <t> -0.0922 </t>
  </si>
  <si>
    <t>BAVM 220 </t>
  </si>
  <si>
    <t>2455760.1353 </t>
  </si>
  <si>
    <t> 17.07.2011 15:14 </t>
  </si>
  <si>
    <t>13327</t>
  </si>
  <si>
    <t> -0.0918 </t>
  </si>
  <si>
    <t>Rc</t>
  </si>
  <si>
    <t> K.Shiokawa </t>
  </si>
  <si>
    <t>VSB 53 </t>
  </si>
  <si>
    <t>2456203.3988 </t>
  </si>
  <si>
    <t> 02.10.2012 21:34 </t>
  </si>
  <si>
    <t>13600</t>
  </si>
  <si>
    <t> -0.0915 </t>
  </si>
  <si>
    <t>BAVM 231 </t>
  </si>
  <si>
    <t>2456841.4975 </t>
  </si>
  <si>
    <t> 02.07.2014 23:56 </t>
  </si>
  <si>
    <t>13993</t>
  </si>
  <si>
    <t> -0.0970 </t>
  </si>
  <si>
    <t> M.&amp; K.Rätz </t>
  </si>
  <si>
    <t>BAVM 241 (=IBVS 6157) 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</si>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</sst>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4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9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3" applyFont="1" applyAlignment="1">
      <alignment wrapText="1"/>
    </xf>
    <xf numFmtId="0" fontId="34" fillId="0" borderId="0" xfId="43" applyFont="1" applyAlignment="1">
      <alignment horizontal="center" wrapText="1"/>
    </xf>
    <xf numFmtId="0" fontId="34" fillId="0" borderId="0" xfId="43" applyFont="1" applyAlignment="1">
      <alignment horizontal="left" wrapText="1"/>
    </xf>
    <xf numFmtId="4" fontId="36" fillId="0" borderId="0" xfId="28" applyFont="1" applyBorder="1"/>
    <xf numFmtId="165" fontId="19" fillId="0" borderId="0" xfId="0" applyNumberFormat="1" applyFont="1" applyAlignment="1">
      <alignment horizontal="left"/>
    </xf>
    <xf numFmtId="165" fontId="34" fillId="0" borderId="0" xfId="43" applyNumberFormat="1" applyFont="1" applyAlignment="1">
      <alignment horizontal="left" wrapText="1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  <xf numFmtId="0" fontId="36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V1018 Cyg - O-C Diagr.</a:t>
            </a:r>
          </a:p>
        </c:rich>
      </c:tx>
      <c:layout>
        <c:manualLayout>
          <c:xMode val="edge"/>
          <c:yMode val="edge"/>
          <c:x val="0.3161159193943732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FF-43AF-A4B8-49122F1551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-3.6590800002159085E-2</c:v>
                </c:pt>
                <c:pt idx="1">
                  <c:v>4.7986400000809226E-2</c:v>
                </c:pt>
                <c:pt idx="2">
                  <c:v>-1.6576000001805369E-2</c:v>
                </c:pt>
                <c:pt idx="3">
                  <c:v>6.9999999977881089E-3</c:v>
                </c:pt>
                <c:pt idx="5">
                  <c:v>7.601600002089981E-3</c:v>
                </c:pt>
                <c:pt idx="6">
                  <c:v>1.241440000012517E-2</c:v>
                </c:pt>
                <c:pt idx="7">
                  <c:v>7.9340000011143275E-3</c:v>
                </c:pt>
                <c:pt idx="8">
                  <c:v>-5.8627999969758093E-3</c:v>
                </c:pt>
                <c:pt idx="9">
                  <c:v>-6.9691999960923567E-3</c:v>
                </c:pt>
                <c:pt idx="10">
                  <c:v>-1.5164399999775924E-2</c:v>
                </c:pt>
                <c:pt idx="11">
                  <c:v>1.7456000059610233E-3</c:v>
                </c:pt>
                <c:pt idx="12">
                  <c:v>3.127600000880193E-3</c:v>
                </c:pt>
                <c:pt idx="13">
                  <c:v>1.7292000047746114E-3</c:v>
                </c:pt>
                <c:pt idx="14">
                  <c:v>-2.5842800001555588E-2</c:v>
                </c:pt>
                <c:pt idx="15">
                  <c:v>6.7628000004333444E-2</c:v>
                </c:pt>
                <c:pt idx="16">
                  <c:v>9.440999994694721E-3</c:v>
                </c:pt>
                <c:pt idx="17">
                  <c:v>4.1637999966042116E-3</c:v>
                </c:pt>
                <c:pt idx="18">
                  <c:v>-2.873120000003837E-2</c:v>
                </c:pt>
                <c:pt idx="19">
                  <c:v>-2.1295999977155589E-3</c:v>
                </c:pt>
                <c:pt idx="20">
                  <c:v>1.8568999999843072E-2</c:v>
                </c:pt>
                <c:pt idx="21">
                  <c:v>-9.0408000032766722E-3</c:v>
                </c:pt>
                <c:pt idx="22">
                  <c:v>-3.6626400004024617E-2</c:v>
                </c:pt>
                <c:pt idx="23">
                  <c:v>-5.8669600002758671E-2</c:v>
                </c:pt>
                <c:pt idx="25">
                  <c:v>-8.6867600002733525E-2</c:v>
                </c:pt>
                <c:pt idx="26">
                  <c:v>-5.2680799999507144E-2</c:v>
                </c:pt>
                <c:pt idx="30">
                  <c:v>-8.4409600000071805E-2</c:v>
                </c:pt>
                <c:pt idx="31">
                  <c:v>-8.4706399997230619E-2</c:v>
                </c:pt>
                <c:pt idx="32">
                  <c:v>-8.559640000021318E-2</c:v>
                </c:pt>
                <c:pt idx="33">
                  <c:v>-8.5602999992261175E-2</c:v>
                </c:pt>
                <c:pt idx="34">
                  <c:v>-8.8512800000899006E-2</c:v>
                </c:pt>
                <c:pt idx="36">
                  <c:v>-9.2199400001845788E-2</c:v>
                </c:pt>
                <c:pt idx="37">
                  <c:v>-9.1759599999932107E-2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FF-43AF-A4B8-49122F1551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7">
                  <c:v>-6.8646199993963819E-2</c:v>
                </c:pt>
                <c:pt idx="28">
                  <c:v>-7.3535800001991447E-2</c:v>
                </c:pt>
                <c:pt idx="35">
                  <c:v>-8.7896400000317954E-2</c:v>
                </c:pt>
                <c:pt idx="38">
                  <c:v>-9.1479999995499384E-2</c:v>
                </c:pt>
                <c:pt idx="39">
                  <c:v>-9.6976400003768504E-2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FF-43AF-A4B8-49122F1551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4">
                  <c:v>-4.2582399997627363E-2</c:v>
                </c:pt>
                <c:pt idx="29">
                  <c:v>-8.7659600001643412E-2</c:v>
                </c:pt>
                <c:pt idx="40">
                  <c:v>-0.10267300000123214</c:v>
                </c:pt>
                <c:pt idx="41">
                  <c:v>-0.10664959999849088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FF-43AF-A4B8-49122F1551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FF-43AF-A4B8-49122F1551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FF-43AF-A4B8-49122F1551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FF-43AF-A4B8-49122F1551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4.1273420285785456E-2</c:v>
                </c:pt>
                <c:pt idx="1">
                  <c:v>4.1170974900648312E-2</c:v>
                </c:pt>
                <c:pt idx="2">
                  <c:v>3.709178592882377E-2</c:v>
                </c:pt>
                <c:pt idx="3">
                  <c:v>3.3552763533176905E-2</c:v>
                </c:pt>
                <c:pt idx="4">
                  <c:v>3.3552763533176905E-2</c:v>
                </c:pt>
                <c:pt idx="5">
                  <c:v>3.347825779853171E-2</c:v>
                </c:pt>
                <c:pt idx="6">
                  <c:v>3.2882211921370127E-2</c:v>
                </c:pt>
                <c:pt idx="7">
                  <c:v>3.0805364568135263E-2</c:v>
                </c:pt>
                <c:pt idx="8">
                  <c:v>3.0656353098844867E-2</c:v>
                </c:pt>
                <c:pt idx="9">
                  <c:v>2.8626071829763247E-2</c:v>
                </c:pt>
                <c:pt idx="10">
                  <c:v>2.8402554625827654E-2</c:v>
                </c:pt>
                <c:pt idx="11">
                  <c:v>2.6772741680463966E-2</c:v>
                </c:pt>
                <c:pt idx="12">
                  <c:v>2.6446779091391232E-2</c:v>
                </c:pt>
                <c:pt idx="13">
                  <c:v>2.6372273356746034E-2</c:v>
                </c:pt>
                <c:pt idx="14">
                  <c:v>1.8083510377467853E-2</c:v>
                </c:pt>
                <c:pt idx="15">
                  <c:v>1.5950783723249089E-2</c:v>
                </c:pt>
                <c:pt idx="16">
                  <c:v>1.5927500681172463E-2</c:v>
                </c:pt>
                <c:pt idx="17">
                  <c:v>1.3701641858647199E-2</c:v>
                </c:pt>
                <c:pt idx="18">
                  <c:v>1.1722583282134151E-2</c:v>
                </c:pt>
                <c:pt idx="19">
                  <c:v>1.1648077547488953E-2</c:v>
                </c:pt>
                <c:pt idx="20">
                  <c:v>9.9670419095566933E-3</c:v>
                </c:pt>
                <c:pt idx="21">
                  <c:v>9.8413134823429234E-3</c:v>
                </c:pt>
                <c:pt idx="22">
                  <c:v>9.1707618705361496E-3</c:v>
                </c:pt>
                <c:pt idx="23">
                  <c:v>-4.4696884277941357E-2</c:v>
                </c:pt>
                <c:pt idx="24">
                  <c:v>-5.1085751023767015E-2</c:v>
                </c:pt>
                <c:pt idx="25">
                  <c:v>-5.2939081173066296E-2</c:v>
                </c:pt>
                <c:pt idx="26">
                  <c:v>-5.3488560966074628E-2</c:v>
                </c:pt>
                <c:pt idx="27">
                  <c:v>-6.1502584048848633E-2</c:v>
                </c:pt>
                <c:pt idx="28">
                  <c:v>-8.0613304985341694E-2</c:v>
                </c:pt>
                <c:pt idx="29">
                  <c:v>-8.24154124420724E-2</c:v>
                </c:pt>
                <c:pt idx="30">
                  <c:v>-8.24154124420724E-2</c:v>
                </c:pt>
                <c:pt idx="31">
                  <c:v>-8.2564423911362789E-2</c:v>
                </c:pt>
                <c:pt idx="32">
                  <c:v>-8.4194236856726487E-2</c:v>
                </c:pt>
                <c:pt idx="33">
                  <c:v>-8.4468976753230646E-2</c:v>
                </c:pt>
                <c:pt idx="34">
                  <c:v>-8.692300938810682E-2</c:v>
                </c:pt>
                <c:pt idx="35">
                  <c:v>-8.8850845272051296E-2</c:v>
                </c:pt>
                <c:pt idx="36">
                  <c:v>-9.0457375175338361E-2</c:v>
                </c:pt>
                <c:pt idx="37">
                  <c:v>-9.0564477168890836E-2</c:v>
                </c:pt>
                <c:pt idx="38">
                  <c:v>-9.310698536365819E-2</c:v>
                </c:pt>
                <c:pt idx="39">
                  <c:v>-9.6767079578103488E-2</c:v>
                </c:pt>
                <c:pt idx="40">
                  <c:v>-0.10099993662763376</c:v>
                </c:pt>
                <c:pt idx="41">
                  <c:v>-0.11314902798321622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FF-43AF-A4B8-49122F155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152984"/>
        <c:axId val="1"/>
      </c:scatterChart>
      <c:valAx>
        <c:axId val="54915298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152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V1018 Cyg - O-C Diagr.</a:t>
            </a:r>
          </a:p>
        </c:rich>
      </c:tx>
      <c:layout>
        <c:manualLayout>
          <c:xMode val="edge"/>
          <c:yMode val="edge"/>
          <c:x val="0.3175257731958762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628865979381442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B9-486A-89FC-D8E4FFEBF0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-3.6590800002159085E-2</c:v>
                </c:pt>
                <c:pt idx="1">
                  <c:v>4.7986400000809226E-2</c:v>
                </c:pt>
                <c:pt idx="2">
                  <c:v>-1.6576000001805369E-2</c:v>
                </c:pt>
                <c:pt idx="3">
                  <c:v>6.9999999977881089E-3</c:v>
                </c:pt>
                <c:pt idx="5">
                  <c:v>7.601600002089981E-3</c:v>
                </c:pt>
                <c:pt idx="6">
                  <c:v>1.241440000012517E-2</c:v>
                </c:pt>
                <c:pt idx="7">
                  <c:v>7.9340000011143275E-3</c:v>
                </c:pt>
                <c:pt idx="8">
                  <c:v>-5.8627999969758093E-3</c:v>
                </c:pt>
                <c:pt idx="9">
                  <c:v>-6.9691999960923567E-3</c:v>
                </c:pt>
                <c:pt idx="10">
                  <c:v>-1.5164399999775924E-2</c:v>
                </c:pt>
                <c:pt idx="11">
                  <c:v>1.7456000059610233E-3</c:v>
                </c:pt>
                <c:pt idx="12">
                  <c:v>3.127600000880193E-3</c:v>
                </c:pt>
                <c:pt idx="13">
                  <c:v>1.7292000047746114E-3</c:v>
                </c:pt>
                <c:pt idx="14">
                  <c:v>-2.5842800001555588E-2</c:v>
                </c:pt>
                <c:pt idx="15">
                  <c:v>6.7628000004333444E-2</c:v>
                </c:pt>
                <c:pt idx="16">
                  <c:v>9.440999994694721E-3</c:v>
                </c:pt>
                <c:pt idx="17">
                  <c:v>4.1637999966042116E-3</c:v>
                </c:pt>
                <c:pt idx="18">
                  <c:v>-2.873120000003837E-2</c:v>
                </c:pt>
                <c:pt idx="19">
                  <c:v>-2.1295999977155589E-3</c:v>
                </c:pt>
                <c:pt idx="20">
                  <c:v>1.8568999999843072E-2</c:v>
                </c:pt>
                <c:pt idx="21">
                  <c:v>-9.0408000032766722E-3</c:v>
                </c:pt>
                <c:pt idx="22">
                  <c:v>-3.6626400004024617E-2</c:v>
                </c:pt>
                <c:pt idx="23">
                  <c:v>-5.8669600002758671E-2</c:v>
                </c:pt>
                <c:pt idx="25">
                  <c:v>-8.6867600002733525E-2</c:v>
                </c:pt>
                <c:pt idx="26">
                  <c:v>-5.2680799999507144E-2</c:v>
                </c:pt>
                <c:pt idx="30">
                  <c:v>-8.4409600000071805E-2</c:v>
                </c:pt>
                <c:pt idx="31">
                  <c:v>-8.4706399997230619E-2</c:v>
                </c:pt>
                <c:pt idx="32">
                  <c:v>-8.559640000021318E-2</c:v>
                </c:pt>
                <c:pt idx="33">
                  <c:v>-8.5602999992261175E-2</c:v>
                </c:pt>
                <c:pt idx="34">
                  <c:v>-8.8512800000899006E-2</c:v>
                </c:pt>
                <c:pt idx="36">
                  <c:v>-9.2199400001845788E-2</c:v>
                </c:pt>
                <c:pt idx="37">
                  <c:v>-9.1759599999932107E-2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B9-486A-89FC-D8E4FFEBF0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7">
                  <c:v>-6.8646199993963819E-2</c:v>
                </c:pt>
                <c:pt idx="28">
                  <c:v>-7.3535800001991447E-2</c:v>
                </c:pt>
                <c:pt idx="35">
                  <c:v>-8.7896400000317954E-2</c:v>
                </c:pt>
                <c:pt idx="38">
                  <c:v>-9.1479999995499384E-2</c:v>
                </c:pt>
                <c:pt idx="39">
                  <c:v>-9.6976400003768504E-2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B9-486A-89FC-D8E4FFEBF0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4">
                  <c:v>-4.2582399997627363E-2</c:v>
                </c:pt>
                <c:pt idx="29">
                  <c:v>-8.7659600001643412E-2</c:v>
                </c:pt>
                <c:pt idx="40">
                  <c:v>-0.10267300000123214</c:v>
                </c:pt>
                <c:pt idx="41">
                  <c:v>-0.10664959999849088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B9-486A-89FC-D8E4FFEBF0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B9-486A-89FC-D8E4FFEBF0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B9-486A-89FC-D8E4FFEBF0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5.0000000000000001E-3</c:v>
                  </c:pt>
                  <c:pt idx="25">
                    <c:v>0.01</c:v>
                  </c:pt>
                  <c:pt idx="26">
                    <c:v>1.0999999999999999E-2</c:v>
                  </c:pt>
                  <c:pt idx="27">
                    <c:v>6.6E-3</c:v>
                  </c:pt>
                  <c:pt idx="28">
                    <c:v>2.5000000000000001E-3</c:v>
                  </c:pt>
                  <c:pt idx="29">
                    <c:v>5.0000000000000001E-4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1.1999999999999999E-3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2.8999999999999998E-3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B9-486A-89FC-D8E4FFEBF0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-829</c:v>
                </c:pt>
                <c:pt idx="1">
                  <c:v>-818</c:v>
                </c:pt>
                <c:pt idx="2">
                  <c:v>-380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72</c:v>
                </c:pt>
                <c:pt idx="7">
                  <c:v>295</c:v>
                </c:pt>
                <c:pt idx="8">
                  <c:v>311</c:v>
                </c:pt>
                <c:pt idx="9">
                  <c:v>529</c:v>
                </c:pt>
                <c:pt idx="10">
                  <c:v>553</c:v>
                </c:pt>
                <c:pt idx="11">
                  <c:v>728</c:v>
                </c:pt>
                <c:pt idx="12">
                  <c:v>763</c:v>
                </c:pt>
                <c:pt idx="13">
                  <c:v>771</c:v>
                </c:pt>
                <c:pt idx="14">
                  <c:v>1661</c:v>
                </c:pt>
                <c:pt idx="15">
                  <c:v>1890</c:v>
                </c:pt>
                <c:pt idx="16">
                  <c:v>1892.5</c:v>
                </c:pt>
                <c:pt idx="17">
                  <c:v>2131.5</c:v>
                </c:pt>
                <c:pt idx="18">
                  <c:v>2344</c:v>
                </c:pt>
                <c:pt idx="19">
                  <c:v>2352</c:v>
                </c:pt>
                <c:pt idx="20">
                  <c:v>2532.5</c:v>
                </c:pt>
                <c:pt idx="21">
                  <c:v>2546</c:v>
                </c:pt>
                <c:pt idx="22">
                  <c:v>2618</c:v>
                </c:pt>
                <c:pt idx="23">
                  <c:v>8402</c:v>
                </c:pt>
                <c:pt idx="24">
                  <c:v>9088</c:v>
                </c:pt>
                <c:pt idx="25">
                  <c:v>9287</c:v>
                </c:pt>
                <c:pt idx="26">
                  <c:v>9346</c:v>
                </c:pt>
                <c:pt idx="27">
                  <c:v>10206.5</c:v>
                </c:pt>
                <c:pt idx="28">
                  <c:v>12258.5</c:v>
                </c:pt>
                <c:pt idx="29">
                  <c:v>12452</c:v>
                </c:pt>
                <c:pt idx="30">
                  <c:v>12452</c:v>
                </c:pt>
                <c:pt idx="31">
                  <c:v>12468</c:v>
                </c:pt>
                <c:pt idx="32">
                  <c:v>12643</c:v>
                </c:pt>
                <c:pt idx="33">
                  <c:v>12672.5</c:v>
                </c:pt>
                <c:pt idx="34">
                  <c:v>12936</c:v>
                </c:pt>
                <c:pt idx="35">
                  <c:v>13143</c:v>
                </c:pt>
                <c:pt idx="36">
                  <c:v>13315.5</c:v>
                </c:pt>
                <c:pt idx="37">
                  <c:v>13327</c:v>
                </c:pt>
                <c:pt idx="38">
                  <c:v>13600</c:v>
                </c:pt>
                <c:pt idx="39">
                  <c:v>13993</c:v>
                </c:pt>
                <c:pt idx="40">
                  <c:v>14447.5</c:v>
                </c:pt>
                <c:pt idx="41">
                  <c:v>15752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4.1273420285785456E-2</c:v>
                </c:pt>
                <c:pt idx="1">
                  <c:v>4.1170974900648312E-2</c:v>
                </c:pt>
                <c:pt idx="2">
                  <c:v>3.709178592882377E-2</c:v>
                </c:pt>
                <c:pt idx="3">
                  <c:v>3.3552763533176905E-2</c:v>
                </c:pt>
                <c:pt idx="4">
                  <c:v>3.3552763533176905E-2</c:v>
                </c:pt>
                <c:pt idx="5">
                  <c:v>3.347825779853171E-2</c:v>
                </c:pt>
                <c:pt idx="6">
                  <c:v>3.2882211921370127E-2</c:v>
                </c:pt>
                <c:pt idx="7">
                  <c:v>3.0805364568135263E-2</c:v>
                </c:pt>
                <c:pt idx="8">
                  <c:v>3.0656353098844867E-2</c:v>
                </c:pt>
                <c:pt idx="9">
                  <c:v>2.8626071829763247E-2</c:v>
                </c:pt>
                <c:pt idx="10">
                  <c:v>2.8402554625827654E-2</c:v>
                </c:pt>
                <c:pt idx="11">
                  <c:v>2.6772741680463966E-2</c:v>
                </c:pt>
                <c:pt idx="12">
                  <c:v>2.6446779091391232E-2</c:v>
                </c:pt>
                <c:pt idx="13">
                  <c:v>2.6372273356746034E-2</c:v>
                </c:pt>
                <c:pt idx="14">
                  <c:v>1.8083510377467853E-2</c:v>
                </c:pt>
                <c:pt idx="15">
                  <c:v>1.5950783723249089E-2</c:v>
                </c:pt>
                <c:pt idx="16">
                  <c:v>1.5927500681172463E-2</c:v>
                </c:pt>
                <c:pt idx="17">
                  <c:v>1.3701641858647199E-2</c:v>
                </c:pt>
                <c:pt idx="18">
                  <c:v>1.1722583282134151E-2</c:v>
                </c:pt>
                <c:pt idx="19">
                  <c:v>1.1648077547488953E-2</c:v>
                </c:pt>
                <c:pt idx="20">
                  <c:v>9.9670419095566933E-3</c:v>
                </c:pt>
                <c:pt idx="21">
                  <c:v>9.8413134823429234E-3</c:v>
                </c:pt>
                <c:pt idx="22">
                  <c:v>9.1707618705361496E-3</c:v>
                </c:pt>
                <c:pt idx="23">
                  <c:v>-4.4696884277941357E-2</c:v>
                </c:pt>
                <c:pt idx="24">
                  <c:v>-5.1085751023767015E-2</c:v>
                </c:pt>
                <c:pt idx="25">
                  <c:v>-5.2939081173066296E-2</c:v>
                </c:pt>
                <c:pt idx="26">
                  <c:v>-5.3488560966074628E-2</c:v>
                </c:pt>
                <c:pt idx="27">
                  <c:v>-6.1502584048848633E-2</c:v>
                </c:pt>
                <c:pt idx="28">
                  <c:v>-8.0613304985341694E-2</c:v>
                </c:pt>
                <c:pt idx="29">
                  <c:v>-8.24154124420724E-2</c:v>
                </c:pt>
                <c:pt idx="30">
                  <c:v>-8.24154124420724E-2</c:v>
                </c:pt>
                <c:pt idx="31">
                  <c:v>-8.2564423911362789E-2</c:v>
                </c:pt>
                <c:pt idx="32">
                  <c:v>-8.4194236856726487E-2</c:v>
                </c:pt>
                <c:pt idx="33">
                  <c:v>-8.4468976753230646E-2</c:v>
                </c:pt>
                <c:pt idx="34">
                  <c:v>-8.692300938810682E-2</c:v>
                </c:pt>
                <c:pt idx="35">
                  <c:v>-8.8850845272051296E-2</c:v>
                </c:pt>
                <c:pt idx="36">
                  <c:v>-9.0457375175338361E-2</c:v>
                </c:pt>
                <c:pt idx="37">
                  <c:v>-9.0564477168890836E-2</c:v>
                </c:pt>
                <c:pt idx="38">
                  <c:v>-9.310698536365819E-2</c:v>
                </c:pt>
                <c:pt idx="39">
                  <c:v>-9.6767079578103488E-2</c:v>
                </c:pt>
                <c:pt idx="40">
                  <c:v>-0.10099993662763376</c:v>
                </c:pt>
                <c:pt idx="41">
                  <c:v>-0.11314902798321622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B9-486A-89FC-D8E4FFEBF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150464"/>
        <c:axId val="1"/>
      </c:scatterChart>
      <c:valAx>
        <c:axId val="549150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150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89690721649486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1</xdr:rowOff>
    </xdr:from>
    <xdr:to>
      <xdr:col>17</xdr:col>
      <xdr:colOff>180975</xdr:colOff>
      <xdr:row>17</xdr:row>
      <xdr:rowOff>114301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7750BB4-26EA-C0A7-A2C7-F39FA7DA8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19050</xdr:rowOff>
    </xdr:from>
    <xdr:to>
      <xdr:col>27</xdr:col>
      <xdr:colOff>219075</xdr:colOff>
      <xdr:row>17</xdr:row>
      <xdr:rowOff>133350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DCB5577-49DC-9329-26CE-441928819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13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bav-astro.de/sfs/BAVM_link.php?BAVMnr=183" TargetMode="External"/><Relationship Id="rId7" Type="http://schemas.openxmlformats.org/officeDocument/2006/relationships/hyperlink" Target="http://www.bav-astro.de/sfs/BAVM_link.php?BAVMnr=203" TargetMode="External"/><Relationship Id="rId12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193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93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14" TargetMode="External"/><Relationship Id="rId14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7"/>
  <sheetViews>
    <sheetView tabSelected="1" workbookViewId="0">
      <pane xSplit="14" ySplit="22" topLeftCell="O46" activePane="bottomRight" state="frozen"/>
      <selection pane="topRight" activeCell="O1" sqref="O1"/>
      <selection pane="bottomLeft" activeCell="A23" sqref="A23"/>
      <selection pane="bottomRight" activeCell="A46" sqref="A46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25</v>
      </c>
      <c r="B2" s="46" t="s">
        <v>40</v>
      </c>
    </row>
    <row r="4" spans="1:6" ht="14.25" thickTop="1" thickBot="1" x14ac:dyDescent="0.25">
      <c r="A4" s="7" t="s">
        <v>1</v>
      </c>
      <c r="C4" s="3">
        <v>34121.512999999999</v>
      </c>
      <c r="D4" s="4">
        <v>1.6236748000000001</v>
      </c>
    </row>
    <row r="5" spans="1:6" ht="13.5" thickTop="1" x14ac:dyDescent="0.2">
      <c r="A5" s="11" t="s">
        <v>34</v>
      </c>
      <c r="B5" s="47"/>
      <c r="C5" s="13">
        <v>-9.5</v>
      </c>
      <c r="D5" s="12" t="s">
        <v>35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34121.512999999999</v>
      </c>
    </row>
    <row r="8" spans="1:6" x14ac:dyDescent="0.2">
      <c r="A8" t="s">
        <v>4</v>
      </c>
      <c r="C8">
        <f>+D4</f>
        <v>1.6236748000000001</v>
      </c>
    </row>
    <row r="9" spans="1:6" x14ac:dyDescent="0.2">
      <c r="A9" s="28" t="s">
        <v>44</v>
      </c>
      <c r="B9" s="29">
        <v>45</v>
      </c>
      <c r="C9" s="26" t="str">
        <f>"F"&amp;B9</f>
        <v>F45</v>
      </c>
      <c r="D9" s="27" t="str">
        <f>"G"&amp;B9</f>
        <v>G45</v>
      </c>
    </row>
    <row r="10" spans="1:6" ht="13.5" thickBot="1" x14ac:dyDescent="0.25">
      <c r="A10" s="12"/>
      <c r="B10" s="47"/>
      <c r="C10" s="6" t="s">
        <v>21</v>
      </c>
      <c r="D10" s="6" t="s">
        <v>22</v>
      </c>
      <c r="E10" s="12"/>
    </row>
    <row r="11" spans="1:6" x14ac:dyDescent="0.2">
      <c r="A11" s="12" t="s">
        <v>17</v>
      </c>
      <c r="B11" s="47"/>
      <c r="C11" s="25">
        <f ca="1">INTERCEPT(INDIRECT($D$9):G992,INDIRECT($C$9):F992)</f>
        <v>3.3552763533176905E-2</v>
      </c>
      <c r="D11" s="5"/>
      <c r="E11" s="12"/>
    </row>
    <row r="12" spans="1:6" x14ac:dyDescent="0.2">
      <c r="A12" s="12" t="s">
        <v>18</v>
      </c>
      <c r="B12" s="47"/>
      <c r="C12" s="25">
        <f ca="1">SLOPE(INDIRECT($D$9):G992,INDIRECT($C$9):F992)</f>
        <v>-9.313216830649639E-6</v>
      </c>
      <c r="D12" s="5"/>
      <c r="E12" s="12"/>
    </row>
    <row r="13" spans="1:6" x14ac:dyDescent="0.2">
      <c r="A13" s="12" t="s">
        <v>20</v>
      </c>
      <c r="B13" s="47"/>
      <c r="C13" s="5" t="s">
        <v>15</v>
      </c>
    </row>
    <row r="14" spans="1:6" x14ac:dyDescent="0.2">
      <c r="A14" s="12"/>
      <c r="B14" s="47"/>
      <c r="C14" s="12"/>
    </row>
    <row r="15" spans="1:6" x14ac:dyDescent="0.2">
      <c r="A15" s="14" t="s">
        <v>19</v>
      </c>
      <c r="B15" s="47"/>
      <c r="C15" s="15">
        <f ca="1">(C7+C11)+(C8+C12)*INT(MAX(F21:F3533))</f>
        <v>59697.525300572015</v>
      </c>
      <c r="E15" s="16" t="s">
        <v>48</v>
      </c>
      <c r="F15" s="13">
        <v>1</v>
      </c>
    </row>
    <row r="16" spans="1:6" x14ac:dyDescent="0.2">
      <c r="A16" s="18" t="s">
        <v>5</v>
      </c>
      <c r="B16" s="47"/>
      <c r="C16" s="19">
        <f ca="1">+C8+C12</f>
        <v>1.6236654867831695</v>
      </c>
      <c r="E16" s="16" t="s">
        <v>36</v>
      </c>
      <c r="F16" s="17">
        <f ca="1">NOW()+15018.5+$C$5/24</f>
        <v>60344.695732523149</v>
      </c>
    </row>
    <row r="17" spans="1:17" ht="13.5" thickBot="1" x14ac:dyDescent="0.25">
      <c r="A17" s="16" t="s">
        <v>38</v>
      </c>
      <c r="B17" s="47"/>
      <c r="C17" s="12">
        <f>COUNT(C21:C2191)</f>
        <v>42</v>
      </c>
      <c r="E17" s="16" t="s">
        <v>49</v>
      </c>
      <c r="F17" s="17">
        <f ca="1">ROUND(2*(F16-$C$7)/$C$8,0)/2+F15</f>
        <v>16151.5</v>
      </c>
    </row>
    <row r="18" spans="1:17" ht="14.25" thickTop="1" thickBot="1" x14ac:dyDescent="0.25">
      <c r="A18" s="18" t="s">
        <v>6</v>
      </c>
      <c r="B18" s="47"/>
      <c r="C18" s="21">
        <f ca="1">+C15</f>
        <v>59697.525300572015</v>
      </c>
      <c r="D18" s="22">
        <f ca="1">+C16</f>
        <v>1.6236654867831695</v>
      </c>
      <c r="E18" s="16" t="s">
        <v>37</v>
      </c>
      <c r="F18" s="27">
        <f ca="1">ROUND(2*(F16-$C$15)/$C$16,0)/2+F15</f>
        <v>399.5</v>
      </c>
    </row>
    <row r="19" spans="1:17" ht="13.5" thickTop="1" x14ac:dyDescent="0.2">
      <c r="E19" s="16" t="s">
        <v>39</v>
      </c>
      <c r="F19" s="20">
        <f ca="1">+$C$15+$C$16*F18-15018.5-$C$5/24</f>
        <v>45328.07549587523</v>
      </c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59</v>
      </c>
      <c r="I20" s="9" t="s">
        <v>62</v>
      </c>
      <c r="J20" s="9" t="s">
        <v>56</v>
      </c>
      <c r="K20" s="9" t="s">
        <v>54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x14ac:dyDescent="0.2">
      <c r="A21" s="45" t="s">
        <v>69</v>
      </c>
      <c r="B21" s="48" t="s">
        <v>46</v>
      </c>
      <c r="C21" s="45">
        <v>32775.449999999997</v>
      </c>
      <c r="D21" s="45" t="s">
        <v>62</v>
      </c>
      <c r="E21">
        <f t="shared" ref="E21:E61" si="0">+(C21-C$7)/C$8</f>
        <v>-829.02253579349872</v>
      </c>
      <c r="F21">
        <f t="shared" ref="F21:F61" si="1">ROUND(2*E21,0)/2</f>
        <v>-829</v>
      </c>
      <c r="G21">
        <f t="shared" ref="G21:G45" si="2">+C21-(C$7+F21*C$8)</f>
        <v>-3.6590800002159085E-2</v>
      </c>
      <c r="I21">
        <f>+G21</f>
        <v>-3.6590800002159085E-2</v>
      </c>
      <c r="O21">
        <f t="shared" ref="O21:O61" ca="1" si="3">+C$11+C$12*F21</f>
        <v>4.1273420285785456E-2</v>
      </c>
      <c r="Q21" s="2">
        <f t="shared" ref="Q21:Q61" si="4">+C21-15018.5</f>
        <v>17756.949999999997</v>
      </c>
    </row>
    <row r="22" spans="1:17" x14ac:dyDescent="0.2">
      <c r="A22" s="45" t="s">
        <v>69</v>
      </c>
      <c r="B22" s="48" t="s">
        <v>46</v>
      </c>
      <c r="C22" s="45">
        <v>32793.394999999997</v>
      </c>
      <c r="D22" s="45" t="s">
        <v>62</v>
      </c>
      <c r="E22">
        <f t="shared" si="0"/>
        <v>-817.97044580602108</v>
      </c>
      <c r="F22">
        <f t="shared" si="1"/>
        <v>-818</v>
      </c>
      <c r="G22">
        <f t="shared" si="2"/>
        <v>4.7986400000809226E-2</v>
      </c>
      <c r="I22">
        <f>+G22</f>
        <v>4.7986400000809226E-2</v>
      </c>
      <c r="O22">
        <f t="shared" ca="1" si="3"/>
        <v>4.1170974900648312E-2</v>
      </c>
      <c r="Q22" s="2">
        <f t="shared" si="4"/>
        <v>17774.894999999997</v>
      </c>
    </row>
    <row r="23" spans="1:17" x14ac:dyDescent="0.2">
      <c r="A23" s="45" t="s">
        <v>69</v>
      </c>
      <c r="B23" s="48" t="s">
        <v>46</v>
      </c>
      <c r="C23" s="45">
        <v>33504.5</v>
      </c>
      <c r="D23" s="45" t="s">
        <v>62</v>
      </c>
      <c r="E23">
        <f t="shared" si="0"/>
        <v>-380.01020894085377</v>
      </c>
      <c r="F23">
        <f t="shared" si="1"/>
        <v>-380</v>
      </c>
      <c r="G23">
        <f t="shared" si="2"/>
        <v>-1.6576000001805369E-2</v>
      </c>
      <c r="I23">
        <f>+G23</f>
        <v>-1.6576000001805369E-2</v>
      </c>
      <c r="O23">
        <f t="shared" ca="1" si="3"/>
        <v>3.709178592882377E-2</v>
      </c>
      <c r="Q23" s="2">
        <f t="shared" si="4"/>
        <v>18486</v>
      </c>
    </row>
    <row r="24" spans="1:17" x14ac:dyDescent="0.2">
      <c r="A24" s="45" t="s">
        <v>69</v>
      </c>
      <c r="B24" s="48" t="s">
        <v>46</v>
      </c>
      <c r="C24" s="45">
        <v>34121.519999999997</v>
      </c>
      <c r="D24" s="45" t="s">
        <v>62</v>
      </c>
      <c r="E24">
        <f t="shared" si="0"/>
        <v>4.311208129724073E-3</v>
      </c>
      <c r="F24">
        <f t="shared" si="1"/>
        <v>0</v>
      </c>
      <c r="G24">
        <f t="shared" si="2"/>
        <v>6.9999999977881089E-3</v>
      </c>
      <c r="I24">
        <f>+G24</f>
        <v>6.9999999977881089E-3</v>
      </c>
      <c r="O24">
        <f t="shared" ca="1" si="3"/>
        <v>3.3552763533176905E-2</v>
      </c>
      <c r="Q24" s="2">
        <f t="shared" si="4"/>
        <v>19103.019999999997</v>
      </c>
    </row>
    <row r="25" spans="1:17" x14ac:dyDescent="0.2">
      <c r="A25" t="s">
        <v>13</v>
      </c>
      <c r="C25" s="10">
        <v>34121.512999999999</v>
      </c>
      <c r="D25" s="10" t="s">
        <v>15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ca="1" si="3"/>
        <v>3.3552763533176905E-2</v>
      </c>
      <c r="Q25" s="2">
        <f t="shared" si="4"/>
        <v>19103.012999999999</v>
      </c>
    </row>
    <row r="26" spans="1:17" x14ac:dyDescent="0.2">
      <c r="A26" s="45" t="s">
        <v>69</v>
      </c>
      <c r="B26" s="48" t="s">
        <v>46</v>
      </c>
      <c r="C26" s="45">
        <v>34134.51</v>
      </c>
      <c r="D26" s="45" t="s">
        <v>62</v>
      </c>
      <c r="E26">
        <f t="shared" si="0"/>
        <v>8.0046817256774734</v>
      </c>
      <c r="F26">
        <f t="shared" si="1"/>
        <v>8</v>
      </c>
      <c r="G26">
        <f t="shared" si="2"/>
        <v>7.601600002089981E-3</v>
      </c>
      <c r="I26">
        <f t="shared" ref="I26:I43" si="5">+G26</f>
        <v>7.601600002089981E-3</v>
      </c>
      <c r="O26">
        <f t="shared" ca="1" si="3"/>
        <v>3.347825779853171E-2</v>
      </c>
      <c r="Q26" s="2">
        <f t="shared" si="4"/>
        <v>19116.010000000002</v>
      </c>
    </row>
    <row r="27" spans="1:17" x14ac:dyDescent="0.2">
      <c r="A27" s="45" t="s">
        <v>69</v>
      </c>
      <c r="B27" s="48" t="s">
        <v>46</v>
      </c>
      <c r="C27" s="45">
        <v>34238.43</v>
      </c>
      <c r="D27" s="45" t="s">
        <v>62</v>
      </c>
      <c r="E27">
        <f t="shared" si="0"/>
        <v>72.007645866032576</v>
      </c>
      <c r="F27">
        <f t="shared" si="1"/>
        <v>72</v>
      </c>
      <c r="G27">
        <f t="shared" si="2"/>
        <v>1.241440000012517E-2</v>
      </c>
      <c r="I27">
        <f t="shared" si="5"/>
        <v>1.241440000012517E-2</v>
      </c>
      <c r="O27">
        <f t="shared" ca="1" si="3"/>
        <v>3.2882211921370127E-2</v>
      </c>
      <c r="Q27" s="2">
        <f t="shared" si="4"/>
        <v>19219.93</v>
      </c>
    </row>
    <row r="28" spans="1:17" x14ac:dyDescent="0.2">
      <c r="A28" s="45" t="s">
        <v>69</v>
      </c>
      <c r="B28" s="48" t="s">
        <v>46</v>
      </c>
      <c r="C28" s="45">
        <v>34600.504999999997</v>
      </c>
      <c r="D28" s="45" t="s">
        <v>62</v>
      </c>
      <c r="E28">
        <f t="shared" si="0"/>
        <v>295.00488644647214</v>
      </c>
      <c r="F28">
        <f t="shared" si="1"/>
        <v>295</v>
      </c>
      <c r="G28">
        <f t="shared" si="2"/>
        <v>7.9340000011143275E-3</v>
      </c>
      <c r="I28">
        <f t="shared" si="5"/>
        <v>7.9340000011143275E-3</v>
      </c>
      <c r="O28">
        <f t="shared" ca="1" si="3"/>
        <v>3.0805364568135263E-2</v>
      </c>
      <c r="Q28" s="2">
        <f t="shared" si="4"/>
        <v>19582.004999999997</v>
      </c>
    </row>
    <row r="29" spans="1:17" x14ac:dyDescent="0.2">
      <c r="A29" s="45" t="s">
        <v>69</v>
      </c>
      <c r="B29" s="48" t="s">
        <v>46</v>
      </c>
      <c r="C29" s="45">
        <v>34626.47</v>
      </c>
      <c r="D29" s="45" t="s">
        <v>62</v>
      </c>
      <c r="E29">
        <f t="shared" si="0"/>
        <v>310.99638917842549</v>
      </c>
      <c r="F29">
        <f t="shared" si="1"/>
        <v>311</v>
      </c>
      <c r="G29">
        <f t="shared" si="2"/>
        <v>-5.8627999969758093E-3</v>
      </c>
      <c r="I29">
        <f t="shared" si="5"/>
        <v>-5.8627999969758093E-3</v>
      </c>
      <c r="O29">
        <f t="shared" ca="1" si="3"/>
        <v>3.0656353098844867E-2</v>
      </c>
      <c r="Q29" s="2">
        <f t="shared" si="4"/>
        <v>19607.97</v>
      </c>
    </row>
    <row r="30" spans="1:17" x14ac:dyDescent="0.2">
      <c r="A30" s="45" t="s">
        <v>69</v>
      </c>
      <c r="B30" s="48" t="s">
        <v>46</v>
      </c>
      <c r="C30" s="45">
        <v>34980.43</v>
      </c>
      <c r="D30" s="45" t="s">
        <v>62</v>
      </c>
      <c r="E30">
        <f t="shared" si="0"/>
        <v>528.99570776118549</v>
      </c>
      <c r="F30">
        <f t="shared" si="1"/>
        <v>529</v>
      </c>
      <c r="G30">
        <f t="shared" si="2"/>
        <v>-6.9691999960923567E-3</v>
      </c>
      <c r="I30">
        <f t="shared" si="5"/>
        <v>-6.9691999960923567E-3</v>
      </c>
      <c r="O30">
        <f t="shared" ca="1" si="3"/>
        <v>2.8626071829763247E-2</v>
      </c>
      <c r="Q30" s="2">
        <f t="shared" si="4"/>
        <v>19961.93</v>
      </c>
    </row>
    <row r="31" spans="1:17" x14ac:dyDescent="0.2">
      <c r="A31" s="45" t="s">
        <v>69</v>
      </c>
      <c r="B31" s="48" t="s">
        <v>46</v>
      </c>
      <c r="C31" s="45">
        <v>35019.39</v>
      </c>
      <c r="D31" s="45" t="s">
        <v>62</v>
      </c>
      <c r="E31">
        <f t="shared" si="0"/>
        <v>552.9906604450598</v>
      </c>
      <c r="F31">
        <f t="shared" si="1"/>
        <v>553</v>
      </c>
      <c r="G31">
        <f t="shared" si="2"/>
        <v>-1.5164399999775924E-2</v>
      </c>
      <c r="I31">
        <f t="shared" si="5"/>
        <v>-1.5164399999775924E-2</v>
      </c>
      <c r="O31">
        <f t="shared" ca="1" si="3"/>
        <v>2.8402554625827654E-2</v>
      </c>
      <c r="Q31" s="2">
        <f t="shared" si="4"/>
        <v>20000.89</v>
      </c>
    </row>
    <row r="32" spans="1:17" x14ac:dyDescent="0.2">
      <c r="A32" s="45" t="s">
        <v>69</v>
      </c>
      <c r="B32" s="48" t="s">
        <v>46</v>
      </c>
      <c r="C32" s="45">
        <v>35303.550000000003</v>
      </c>
      <c r="D32" s="45" t="s">
        <v>62</v>
      </c>
      <c r="E32">
        <f t="shared" si="0"/>
        <v>728.00107509213285</v>
      </c>
      <c r="F32">
        <f t="shared" si="1"/>
        <v>728</v>
      </c>
      <c r="G32">
        <f t="shared" si="2"/>
        <v>1.7456000059610233E-3</v>
      </c>
      <c r="I32">
        <f t="shared" si="5"/>
        <v>1.7456000059610233E-3</v>
      </c>
      <c r="O32">
        <f t="shared" ca="1" si="3"/>
        <v>2.6772741680463966E-2</v>
      </c>
      <c r="Q32" s="2">
        <f t="shared" si="4"/>
        <v>20285.050000000003</v>
      </c>
    </row>
    <row r="33" spans="1:31" x14ac:dyDescent="0.2">
      <c r="A33" s="45" t="s">
        <v>69</v>
      </c>
      <c r="B33" s="48" t="s">
        <v>46</v>
      </c>
      <c r="C33" s="45">
        <v>35360.379999999997</v>
      </c>
      <c r="D33" s="45" t="s">
        <v>62</v>
      </c>
      <c r="E33">
        <f t="shared" si="0"/>
        <v>763.00192624779197</v>
      </c>
      <c r="F33">
        <f t="shared" si="1"/>
        <v>763</v>
      </c>
      <c r="G33">
        <f t="shared" si="2"/>
        <v>3.127600000880193E-3</v>
      </c>
      <c r="I33">
        <f t="shared" si="5"/>
        <v>3.127600000880193E-3</v>
      </c>
      <c r="O33">
        <f t="shared" ca="1" si="3"/>
        <v>2.6446779091391232E-2</v>
      </c>
      <c r="Q33" s="2">
        <f t="shared" si="4"/>
        <v>20341.879999999997</v>
      </c>
    </row>
    <row r="34" spans="1:31" x14ac:dyDescent="0.2">
      <c r="A34" s="45" t="s">
        <v>69</v>
      </c>
      <c r="B34" s="48" t="s">
        <v>46</v>
      </c>
      <c r="C34" s="45">
        <v>35373.368000000002</v>
      </c>
      <c r="D34" s="45" t="s">
        <v>62</v>
      </c>
      <c r="E34">
        <f t="shared" si="0"/>
        <v>771.00106499158767</v>
      </c>
      <c r="F34">
        <f t="shared" si="1"/>
        <v>771</v>
      </c>
      <c r="G34">
        <f t="shared" si="2"/>
        <v>1.7292000047746114E-3</v>
      </c>
      <c r="I34">
        <f t="shared" si="5"/>
        <v>1.7292000047746114E-3</v>
      </c>
      <c r="O34">
        <f t="shared" ca="1" si="3"/>
        <v>2.6372273356746034E-2</v>
      </c>
      <c r="Q34" s="2">
        <f t="shared" si="4"/>
        <v>20354.868000000002</v>
      </c>
    </row>
    <row r="35" spans="1:31" x14ac:dyDescent="0.2">
      <c r="A35" s="45" t="s">
        <v>108</v>
      </c>
      <c r="B35" s="48" t="s">
        <v>46</v>
      </c>
      <c r="C35" s="45">
        <v>36818.411</v>
      </c>
      <c r="D35" s="45" t="s">
        <v>62</v>
      </c>
      <c r="E35">
        <f t="shared" si="0"/>
        <v>1660.9840837586448</v>
      </c>
      <c r="F35">
        <f t="shared" si="1"/>
        <v>1661</v>
      </c>
      <c r="G35">
        <f t="shared" si="2"/>
        <v>-2.5842800001555588E-2</v>
      </c>
      <c r="I35">
        <f t="shared" si="5"/>
        <v>-2.5842800001555588E-2</v>
      </c>
      <c r="O35">
        <f t="shared" ca="1" si="3"/>
        <v>1.8083510377467853E-2</v>
      </c>
      <c r="Q35" s="2">
        <f t="shared" si="4"/>
        <v>21799.911</v>
      </c>
    </row>
    <row r="36" spans="1:31" x14ac:dyDescent="0.2">
      <c r="A36" s="45" t="s">
        <v>108</v>
      </c>
      <c r="B36" s="48" t="s">
        <v>46</v>
      </c>
      <c r="C36" s="45">
        <v>37190.326000000001</v>
      </c>
      <c r="D36" s="45" t="s">
        <v>62</v>
      </c>
      <c r="E36">
        <f t="shared" si="0"/>
        <v>1890.0416511976423</v>
      </c>
      <c r="F36">
        <f t="shared" si="1"/>
        <v>1890</v>
      </c>
      <c r="G36">
        <f t="shared" si="2"/>
        <v>6.7628000004333444E-2</v>
      </c>
      <c r="I36">
        <f t="shared" si="5"/>
        <v>6.7628000004333444E-2</v>
      </c>
      <c r="O36">
        <f t="shared" ca="1" si="3"/>
        <v>1.5950783723249089E-2</v>
      </c>
      <c r="Q36" s="2">
        <f t="shared" si="4"/>
        <v>22171.826000000001</v>
      </c>
    </row>
    <row r="37" spans="1:31" x14ac:dyDescent="0.2">
      <c r="A37" s="45" t="s">
        <v>108</v>
      </c>
      <c r="B37" s="48" t="s">
        <v>42</v>
      </c>
      <c r="C37" s="45">
        <v>37194.326999999997</v>
      </c>
      <c r="D37" s="45" t="s">
        <v>62</v>
      </c>
      <c r="E37">
        <f t="shared" si="0"/>
        <v>1892.5058145879941</v>
      </c>
      <c r="F37">
        <f t="shared" si="1"/>
        <v>1892.5</v>
      </c>
      <c r="G37">
        <f t="shared" si="2"/>
        <v>9.440999994694721E-3</v>
      </c>
      <c r="I37">
        <f t="shared" si="5"/>
        <v>9.440999994694721E-3</v>
      </c>
      <c r="O37">
        <f t="shared" ca="1" si="3"/>
        <v>1.5927500681172463E-2</v>
      </c>
      <c r="Q37" s="2">
        <f t="shared" si="4"/>
        <v>22175.826999999997</v>
      </c>
    </row>
    <row r="38" spans="1:31" x14ac:dyDescent="0.2">
      <c r="A38" s="45" t="s">
        <v>108</v>
      </c>
      <c r="B38" s="48" t="s">
        <v>42</v>
      </c>
      <c r="C38" s="45">
        <v>37582.379999999997</v>
      </c>
      <c r="D38" s="45" t="s">
        <v>62</v>
      </c>
      <c r="E38">
        <f t="shared" si="0"/>
        <v>2131.5025644297725</v>
      </c>
      <c r="F38">
        <f t="shared" si="1"/>
        <v>2131.5</v>
      </c>
      <c r="G38">
        <f t="shared" si="2"/>
        <v>4.1637999966042116E-3</v>
      </c>
      <c r="I38">
        <f t="shared" si="5"/>
        <v>4.1637999966042116E-3</v>
      </c>
      <c r="O38">
        <f t="shared" ca="1" si="3"/>
        <v>1.3701641858647199E-2</v>
      </c>
      <c r="Q38" s="2">
        <f t="shared" si="4"/>
        <v>22563.879999999997</v>
      </c>
    </row>
    <row r="39" spans="1:31" x14ac:dyDescent="0.2">
      <c r="A39" s="45" t="s">
        <v>108</v>
      </c>
      <c r="B39" s="48" t="s">
        <v>46</v>
      </c>
      <c r="C39" s="45">
        <v>37927.377999999997</v>
      </c>
      <c r="D39" s="45" t="s">
        <v>62</v>
      </c>
      <c r="E39">
        <f t="shared" si="0"/>
        <v>2343.9823048309904</v>
      </c>
      <c r="F39">
        <f t="shared" si="1"/>
        <v>2344</v>
      </c>
      <c r="G39">
        <f t="shared" si="2"/>
        <v>-2.873120000003837E-2</v>
      </c>
      <c r="I39">
        <f t="shared" si="5"/>
        <v>-2.873120000003837E-2</v>
      </c>
      <c r="O39">
        <f t="shared" ca="1" si="3"/>
        <v>1.1722583282134151E-2</v>
      </c>
      <c r="Q39" s="2">
        <f t="shared" si="4"/>
        <v>22908.877999999997</v>
      </c>
    </row>
    <row r="40" spans="1:31" x14ac:dyDescent="0.2">
      <c r="A40" s="45" t="s">
        <v>108</v>
      </c>
      <c r="B40" s="48" t="s">
        <v>46</v>
      </c>
      <c r="C40" s="45">
        <v>37940.394</v>
      </c>
      <c r="D40" s="45" t="s">
        <v>62</v>
      </c>
      <c r="E40">
        <f t="shared" si="0"/>
        <v>2351.9986884073096</v>
      </c>
      <c r="F40">
        <f t="shared" si="1"/>
        <v>2352</v>
      </c>
      <c r="G40">
        <f t="shared" si="2"/>
        <v>-2.1295999977155589E-3</v>
      </c>
      <c r="I40">
        <f t="shared" si="5"/>
        <v>-2.1295999977155589E-3</v>
      </c>
      <c r="O40">
        <f t="shared" ca="1" si="3"/>
        <v>1.1648077547488953E-2</v>
      </c>
      <c r="Q40" s="2">
        <f t="shared" si="4"/>
        <v>22921.894</v>
      </c>
    </row>
    <row r="41" spans="1:31" x14ac:dyDescent="0.2">
      <c r="A41" s="45" t="s">
        <v>108</v>
      </c>
      <c r="B41" s="48" t="s">
        <v>42</v>
      </c>
      <c r="C41" s="45">
        <v>38233.487999999998</v>
      </c>
      <c r="D41" s="45" t="s">
        <v>62</v>
      </c>
      <c r="E41">
        <f t="shared" si="0"/>
        <v>2532.5114364033971</v>
      </c>
      <c r="F41">
        <f t="shared" si="1"/>
        <v>2532.5</v>
      </c>
      <c r="G41">
        <f t="shared" si="2"/>
        <v>1.8568999999843072E-2</v>
      </c>
      <c r="I41">
        <f t="shared" si="5"/>
        <v>1.8568999999843072E-2</v>
      </c>
      <c r="O41">
        <f t="shared" ca="1" si="3"/>
        <v>9.9670419095566933E-3</v>
      </c>
      <c r="Q41" s="2">
        <f t="shared" si="4"/>
        <v>23214.987999999998</v>
      </c>
    </row>
    <row r="42" spans="1:31" x14ac:dyDescent="0.2">
      <c r="A42" s="45" t="s">
        <v>108</v>
      </c>
      <c r="B42" s="48" t="s">
        <v>46</v>
      </c>
      <c r="C42" s="45">
        <v>38255.379999999997</v>
      </c>
      <c r="D42" s="45" t="s">
        <v>62</v>
      </c>
      <c r="E42">
        <f t="shared" si="0"/>
        <v>2545.9944318899315</v>
      </c>
      <c r="F42">
        <f t="shared" si="1"/>
        <v>2546</v>
      </c>
      <c r="G42">
        <f t="shared" si="2"/>
        <v>-9.0408000032766722E-3</v>
      </c>
      <c r="I42">
        <f t="shared" si="5"/>
        <v>-9.0408000032766722E-3</v>
      </c>
      <c r="O42">
        <f t="shared" ca="1" si="3"/>
        <v>9.8413134823429234E-3</v>
      </c>
      <c r="Q42" s="2">
        <f t="shared" si="4"/>
        <v>23236.879999999997</v>
      </c>
    </row>
    <row r="43" spans="1:31" x14ac:dyDescent="0.2">
      <c r="A43" s="45" t="s">
        <v>108</v>
      </c>
      <c r="B43" s="48" t="s">
        <v>46</v>
      </c>
      <c r="C43" s="45">
        <v>38372.256999999998</v>
      </c>
      <c r="D43" s="45" t="s">
        <v>62</v>
      </c>
      <c r="E43">
        <f t="shared" si="0"/>
        <v>2617.9774422809287</v>
      </c>
      <c r="F43">
        <f t="shared" si="1"/>
        <v>2618</v>
      </c>
      <c r="G43">
        <f t="shared" si="2"/>
        <v>-3.6626400004024617E-2</v>
      </c>
      <c r="I43">
        <f t="shared" si="5"/>
        <v>-3.6626400004024617E-2</v>
      </c>
      <c r="O43">
        <f t="shared" ca="1" si="3"/>
        <v>9.1707618705361496E-3</v>
      </c>
      <c r="Q43" s="2">
        <f t="shared" si="4"/>
        <v>23353.756999999998</v>
      </c>
    </row>
    <row r="44" spans="1:31" x14ac:dyDescent="0.2">
      <c r="A44" s="45" t="s">
        <v>136</v>
      </c>
      <c r="B44" s="48" t="s">
        <v>46</v>
      </c>
      <c r="C44" s="45">
        <v>47763.57</v>
      </c>
      <c r="D44" s="45" t="s">
        <v>62</v>
      </c>
      <c r="E44">
        <f t="shared" si="0"/>
        <v>8401.9638661633471</v>
      </c>
      <c r="F44">
        <f t="shared" si="1"/>
        <v>8402</v>
      </c>
      <c r="G44">
        <f t="shared" si="2"/>
        <v>-5.8669600002758671E-2</v>
      </c>
      <c r="I44">
        <f>+G44</f>
        <v>-5.8669600002758671E-2</v>
      </c>
      <c r="O44">
        <f t="shared" ca="1" si="3"/>
        <v>-4.4696884277941357E-2</v>
      </c>
      <c r="Q44" s="2">
        <f t="shared" si="4"/>
        <v>32745.07</v>
      </c>
    </row>
    <row r="45" spans="1:31" x14ac:dyDescent="0.2">
      <c r="A45" t="s">
        <v>30</v>
      </c>
      <c r="C45" s="10">
        <v>48877.427000000003</v>
      </c>
      <c r="D45" s="10">
        <v>5.0000000000000001E-3</v>
      </c>
      <c r="E45">
        <f t="shared" si="0"/>
        <v>9087.9737740586988</v>
      </c>
      <c r="F45">
        <f t="shared" si="1"/>
        <v>9088</v>
      </c>
      <c r="G45">
        <f t="shared" si="2"/>
        <v>-4.2582399997627363E-2</v>
      </c>
      <c r="K45">
        <f>+G45</f>
        <v>-4.2582399997627363E-2</v>
      </c>
      <c r="O45">
        <f t="shared" ca="1" si="3"/>
        <v>-5.1085751023767015E-2</v>
      </c>
      <c r="Q45" s="2">
        <f t="shared" si="4"/>
        <v>33858.927000000003</v>
      </c>
      <c r="AA45">
        <v>13</v>
      </c>
      <c r="AC45" t="s">
        <v>29</v>
      </c>
      <c r="AE45" t="s">
        <v>31</v>
      </c>
    </row>
    <row r="46" spans="1:31" x14ac:dyDescent="0.2">
      <c r="A46" t="s">
        <v>32</v>
      </c>
      <c r="C46" s="10">
        <v>49200.493999999999</v>
      </c>
      <c r="D46" s="10">
        <v>0.01</v>
      </c>
      <c r="E46">
        <f t="shared" si="0"/>
        <v>9286.9464993852216</v>
      </c>
      <c r="F46">
        <f t="shared" si="1"/>
        <v>9287</v>
      </c>
      <c r="I46" s="27">
        <v>-8.6867600002733525E-2</v>
      </c>
      <c r="O46">
        <f t="shared" ca="1" si="3"/>
        <v>-5.2939081173066296E-2</v>
      </c>
      <c r="Q46" s="2">
        <f t="shared" si="4"/>
        <v>34181.993999999999</v>
      </c>
      <c r="AA46">
        <v>12</v>
      </c>
      <c r="AC46" t="s">
        <v>29</v>
      </c>
      <c r="AE46" t="s">
        <v>31</v>
      </c>
    </row>
    <row r="47" spans="1:31" x14ac:dyDescent="0.2">
      <c r="A47" t="s">
        <v>33</v>
      </c>
      <c r="C47" s="10">
        <v>49296.324999999997</v>
      </c>
      <c r="D47" s="10">
        <v>1.0999999999999999E-2</v>
      </c>
      <c r="E47">
        <f t="shared" si="0"/>
        <v>9345.9675545866685</v>
      </c>
      <c r="F47">
        <f t="shared" si="1"/>
        <v>9346</v>
      </c>
      <c r="G47">
        <f t="shared" ref="G47:G61" si="6">+C47-(C$7+F47*C$8)</f>
        <v>-5.2680799999507144E-2</v>
      </c>
      <c r="I47">
        <f>+G47</f>
        <v>-5.2680799999507144E-2</v>
      </c>
      <c r="O47">
        <f t="shared" ca="1" si="3"/>
        <v>-5.3488560966074628E-2</v>
      </c>
      <c r="Q47" s="2">
        <f t="shared" si="4"/>
        <v>34277.824999999997</v>
      </c>
      <c r="AA47">
        <v>10</v>
      </c>
      <c r="AC47" t="s">
        <v>29</v>
      </c>
      <c r="AE47" t="s">
        <v>31</v>
      </c>
    </row>
    <row r="48" spans="1:31" x14ac:dyDescent="0.2">
      <c r="A48" s="23" t="s">
        <v>41</v>
      </c>
      <c r="B48" s="5" t="s">
        <v>42</v>
      </c>
      <c r="C48" s="24">
        <v>50693.481200000002</v>
      </c>
      <c r="D48" s="24">
        <v>6.6E-3</v>
      </c>
      <c r="E48">
        <f t="shared" si="0"/>
        <v>10206.457721706343</v>
      </c>
      <c r="F48">
        <f t="shared" si="1"/>
        <v>10206.5</v>
      </c>
      <c r="G48">
        <f t="shared" si="6"/>
        <v>-6.8646199993963819E-2</v>
      </c>
      <c r="J48">
        <f>+G48</f>
        <v>-6.8646199993963819E-2</v>
      </c>
      <c r="O48">
        <f t="shared" ca="1" si="3"/>
        <v>-6.1502584048848633E-2</v>
      </c>
      <c r="Q48" s="2">
        <f t="shared" si="4"/>
        <v>35674.981200000002</v>
      </c>
    </row>
    <row r="49" spans="1:17" x14ac:dyDescent="0.2">
      <c r="A49" s="23" t="s">
        <v>41</v>
      </c>
      <c r="B49" s="5" t="s">
        <v>42</v>
      </c>
      <c r="C49" s="24">
        <v>54025.256999999998</v>
      </c>
      <c r="D49" s="24">
        <v>2.5000000000000001E-3</v>
      </c>
      <c r="E49">
        <f t="shared" si="0"/>
        <v>12258.454710265873</v>
      </c>
      <c r="F49">
        <f t="shared" si="1"/>
        <v>12258.5</v>
      </c>
      <c r="G49">
        <f t="shared" si="6"/>
        <v>-7.3535800001991447E-2</v>
      </c>
      <c r="J49">
        <f>+G49</f>
        <v>-7.3535800001991447E-2</v>
      </c>
      <c r="O49">
        <f t="shared" ca="1" si="3"/>
        <v>-8.0613304985341694E-2</v>
      </c>
      <c r="Q49" s="2">
        <f t="shared" si="4"/>
        <v>39006.756999999998</v>
      </c>
    </row>
    <row r="50" spans="1:17" x14ac:dyDescent="0.2">
      <c r="A50" s="30" t="s">
        <v>45</v>
      </c>
      <c r="B50" s="31" t="s">
        <v>46</v>
      </c>
      <c r="C50" s="30">
        <v>54339.423949999997</v>
      </c>
      <c r="D50" s="30">
        <v>5.0000000000000001E-4</v>
      </c>
      <c r="E50">
        <f t="shared" si="0"/>
        <v>12451.946011602813</v>
      </c>
      <c r="F50">
        <f t="shared" si="1"/>
        <v>12452</v>
      </c>
      <c r="G50">
        <f t="shared" si="6"/>
        <v>-8.7659600001643412E-2</v>
      </c>
      <c r="K50">
        <f t="shared" ref="K50:K55" si="7">+G50</f>
        <v>-8.7659600001643412E-2</v>
      </c>
      <c r="O50">
        <f t="shared" ca="1" si="3"/>
        <v>-8.24154124420724E-2</v>
      </c>
      <c r="Q50" s="2">
        <f t="shared" si="4"/>
        <v>39320.923949999997</v>
      </c>
    </row>
    <row r="51" spans="1:17" x14ac:dyDescent="0.2">
      <c r="A51" s="45" t="s">
        <v>172</v>
      </c>
      <c r="B51" s="48" t="s">
        <v>46</v>
      </c>
      <c r="C51" s="45">
        <v>54339.427199999998</v>
      </c>
      <c r="D51" s="45" t="s">
        <v>62</v>
      </c>
      <c r="E51">
        <f t="shared" si="0"/>
        <v>12451.948013235162</v>
      </c>
      <c r="F51">
        <f t="shared" si="1"/>
        <v>12452</v>
      </c>
      <c r="G51">
        <f t="shared" si="6"/>
        <v>-8.4409600000071805E-2</v>
      </c>
      <c r="I51">
        <f>+G51</f>
        <v>-8.4409600000071805E-2</v>
      </c>
      <c r="O51">
        <f t="shared" ca="1" si="3"/>
        <v>-8.24154124420724E-2</v>
      </c>
      <c r="Q51" s="2">
        <f t="shared" si="4"/>
        <v>39320.927199999998</v>
      </c>
    </row>
    <row r="52" spans="1:17" x14ac:dyDescent="0.2">
      <c r="A52" s="45" t="s">
        <v>172</v>
      </c>
      <c r="B52" s="48" t="s">
        <v>46</v>
      </c>
      <c r="C52" s="45">
        <v>54365.405700000003</v>
      </c>
      <c r="D52" s="45" t="s">
        <v>62</v>
      </c>
      <c r="E52">
        <f t="shared" si="0"/>
        <v>12467.94783043994</v>
      </c>
      <c r="F52">
        <f t="shared" si="1"/>
        <v>12468</v>
      </c>
      <c r="G52">
        <f t="shared" si="6"/>
        <v>-8.4706399997230619E-2</v>
      </c>
      <c r="I52">
        <f>+G52</f>
        <v>-8.4706399997230619E-2</v>
      </c>
      <c r="O52">
        <f t="shared" ca="1" si="3"/>
        <v>-8.2564423911362789E-2</v>
      </c>
      <c r="Q52" s="2">
        <f t="shared" si="4"/>
        <v>39346.905700000003</v>
      </c>
    </row>
    <row r="53" spans="1:17" x14ac:dyDescent="0.2">
      <c r="A53" s="45" t="s">
        <v>181</v>
      </c>
      <c r="B53" s="48" t="s">
        <v>46</v>
      </c>
      <c r="C53" s="45">
        <v>54649.547899999998</v>
      </c>
      <c r="D53" s="45" t="s">
        <v>62</v>
      </c>
      <c r="E53">
        <f t="shared" si="0"/>
        <v>12642.947282300616</v>
      </c>
      <c r="F53">
        <f t="shared" si="1"/>
        <v>12643</v>
      </c>
      <c r="G53">
        <f t="shared" si="6"/>
        <v>-8.559640000021318E-2</v>
      </c>
      <c r="I53">
        <f>+G53</f>
        <v>-8.559640000021318E-2</v>
      </c>
      <c r="O53">
        <f t="shared" ca="1" si="3"/>
        <v>-8.4194236856726487E-2</v>
      </c>
      <c r="Q53" s="2">
        <f t="shared" si="4"/>
        <v>39631.047899999998</v>
      </c>
    </row>
    <row r="54" spans="1:17" x14ac:dyDescent="0.2">
      <c r="A54" s="45" t="s">
        <v>181</v>
      </c>
      <c r="B54" s="48" t="s">
        <v>42</v>
      </c>
      <c r="C54" s="45">
        <v>54697.446300000003</v>
      </c>
      <c r="D54" s="45" t="s">
        <v>62</v>
      </c>
      <c r="E54">
        <f t="shared" si="0"/>
        <v>12672.447278235766</v>
      </c>
      <c r="F54">
        <f t="shared" si="1"/>
        <v>12672.5</v>
      </c>
      <c r="G54">
        <f t="shared" si="6"/>
        <v>-8.5602999992261175E-2</v>
      </c>
      <c r="I54">
        <f>+G54</f>
        <v>-8.5602999992261175E-2</v>
      </c>
      <c r="O54">
        <f t="shared" ca="1" si="3"/>
        <v>-8.4468976753230646E-2</v>
      </c>
      <c r="Q54" s="2">
        <f t="shared" si="4"/>
        <v>39678.946300000003</v>
      </c>
    </row>
    <row r="55" spans="1:17" x14ac:dyDescent="0.2">
      <c r="A55" s="45" t="s">
        <v>190</v>
      </c>
      <c r="B55" s="48" t="s">
        <v>46</v>
      </c>
      <c r="C55" s="45">
        <v>55125.2817</v>
      </c>
      <c r="D55" s="45" t="s">
        <v>62</v>
      </c>
      <c r="E55">
        <f t="shared" si="0"/>
        <v>12935.945486128134</v>
      </c>
      <c r="F55">
        <f t="shared" si="1"/>
        <v>12936</v>
      </c>
      <c r="G55">
        <f t="shared" si="6"/>
        <v>-8.8512800000899006E-2</v>
      </c>
      <c r="I55">
        <f>+G55</f>
        <v>-8.8512800000899006E-2</v>
      </c>
      <c r="O55">
        <f t="shared" ca="1" si="3"/>
        <v>-8.692300938810682E-2</v>
      </c>
      <c r="Q55" s="2">
        <f t="shared" si="4"/>
        <v>40106.7817</v>
      </c>
    </row>
    <row r="56" spans="1:17" x14ac:dyDescent="0.2">
      <c r="A56" s="49" t="s">
        <v>50</v>
      </c>
      <c r="B56" s="50"/>
      <c r="C56" s="51">
        <v>55461.383000000002</v>
      </c>
      <c r="D56" s="51">
        <v>1.1999999999999999E-3</v>
      </c>
      <c r="E56">
        <f t="shared" si="0"/>
        <v>13142.945865760805</v>
      </c>
      <c r="F56">
        <f t="shared" si="1"/>
        <v>13143</v>
      </c>
      <c r="G56">
        <f t="shared" si="6"/>
        <v>-8.7896400000317954E-2</v>
      </c>
      <c r="J56">
        <f>+G56</f>
        <v>-8.7896400000317954E-2</v>
      </c>
      <c r="O56">
        <f t="shared" ca="1" si="3"/>
        <v>-8.8850845272051296E-2</v>
      </c>
      <c r="Q56" s="2">
        <f t="shared" si="4"/>
        <v>40442.883000000002</v>
      </c>
    </row>
    <row r="57" spans="1:17" x14ac:dyDescent="0.2">
      <c r="A57" s="45" t="s">
        <v>200</v>
      </c>
      <c r="B57" s="48" t="s">
        <v>42</v>
      </c>
      <c r="C57" s="45">
        <v>55741.462599999999</v>
      </c>
      <c r="D57" s="45" t="s">
        <v>62</v>
      </c>
      <c r="E57">
        <f t="shared" si="0"/>
        <v>13315.443215599576</v>
      </c>
      <c r="F57">
        <f t="shared" si="1"/>
        <v>13315.5</v>
      </c>
      <c r="G57">
        <f t="shared" si="6"/>
        <v>-9.2199400001845788E-2</v>
      </c>
      <c r="I57">
        <f>+G57</f>
        <v>-9.2199400001845788E-2</v>
      </c>
      <c r="O57">
        <f t="shared" ca="1" si="3"/>
        <v>-9.0457375175338361E-2</v>
      </c>
      <c r="Q57" s="2">
        <f t="shared" si="4"/>
        <v>40722.962599999999</v>
      </c>
    </row>
    <row r="58" spans="1:17" x14ac:dyDescent="0.2">
      <c r="A58" s="45" t="s">
        <v>207</v>
      </c>
      <c r="B58" s="48" t="s">
        <v>46</v>
      </c>
      <c r="C58" s="45">
        <v>55760.135300000002</v>
      </c>
      <c r="D58" s="45" t="s">
        <v>62</v>
      </c>
      <c r="E58">
        <f t="shared" si="0"/>
        <v>13326.943486466625</v>
      </c>
      <c r="F58">
        <f t="shared" si="1"/>
        <v>13327</v>
      </c>
      <c r="G58">
        <f t="shared" si="6"/>
        <v>-9.1759599999932107E-2</v>
      </c>
      <c r="I58">
        <f>+G58</f>
        <v>-9.1759599999932107E-2</v>
      </c>
      <c r="O58">
        <f t="shared" ca="1" si="3"/>
        <v>-9.0564477168890836E-2</v>
      </c>
      <c r="Q58" s="2">
        <f t="shared" si="4"/>
        <v>40741.635300000002</v>
      </c>
    </row>
    <row r="59" spans="1:17" x14ac:dyDescent="0.2">
      <c r="A59" s="49" t="s">
        <v>47</v>
      </c>
      <c r="B59" s="52" t="s">
        <v>46</v>
      </c>
      <c r="C59" s="57">
        <v>56203.398800000003</v>
      </c>
      <c r="D59" s="51">
        <v>2.8999999999999998E-3</v>
      </c>
      <c r="E59">
        <f t="shared" si="0"/>
        <v>13599.943658668597</v>
      </c>
      <c r="F59">
        <f t="shared" si="1"/>
        <v>13600</v>
      </c>
      <c r="G59">
        <f t="shared" si="6"/>
        <v>-9.1479999995499384E-2</v>
      </c>
      <c r="J59">
        <f>+G59</f>
        <v>-9.1479999995499384E-2</v>
      </c>
      <c r="O59">
        <f t="shared" ca="1" si="3"/>
        <v>-9.310698536365819E-2</v>
      </c>
      <c r="Q59" s="2">
        <f t="shared" si="4"/>
        <v>41184.898800000003</v>
      </c>
    </row>
    <row r="60" spans="1:17" x14ac:dyDescent="0.2">
      <c r="A60" s="51" t="s">
        <v>51</v>
      </c>
      <c r="B60" s="52"/>
      <c r="C60" s="57">
        <v>56841.497499999998</v>
      </c>
      <c r="D60" s="51">
        <v>2.9999999999999997E-4</v>
      </c>
      <c r="E60">
        <f t="shared" si="0"/>
        <v>13992.940273507969</v>
      </c>
      <c r="F60">
        <f t="shared" si="1"/>
        <v>13993</v>
      </c>
      <c r="G60">
        <f t="shared" si="6"/>
        <v>-9.6976400003768504E-2</v>
      </c>
      <c r="J60">
        <f>+G60</f>
        <v>-9.6976400003768504E-2</v>
      </c>
      <c r="O60">
        <f t="shared" ca="1" si="3"/>
        <v>-9.6767079578103488E-2</v>
      </c>
      <c r="Q60" s="2">
        <f t="shared" si="4"/>
        <v>41822.997499999998</v>
      </c>
    </row>
    <row r="61" spans="1:17" x14ac:dyDescent="0.2">
      <c r="A61" s="53" t="s">
        <v>0</v>
      </c>
      <c r="B61" s="54" t="s">
        <v>46</v>
      </c>
      <c r="C61" s="58">
        <v>57579.451999999997</v>
      </c>
      <c r="D61" s="55">
        <v>5.9999999999999995E-4</v>
      </c>
      <c r="E61">
        <f t="shared" si="0"/>
        <v>14447.436765046792</v>
      </c>
      <c r="F61">
        <f t="shared" si="1"/>
        <v>14447.5</v>
      </c>
      <c r="G61">
        <f t="shared" si="6"/>
        <v>-0.10267300000123214</v>
      </c>
      <c r="K61">
        <f>+G61</f>
        <v>-0.10267300000123214</v>
      </c>
      <c r="O61">
        <f t="shared" ca="1" si="3"/>
        <v>-0.10099993662763376</v>
      </c>
      <c r="Q61" s="2">
        <f t="shared" si="4"/>
        <v>42560.951999999997</v>
      </c>
    </row>
    <row r="62" spans="1:17" x14ac:dyDescent="0.2">
      <c r="A62" s="56" t="s">
        <v>219</v>
      </c>
      <c r="B62" s="56" t="s">
        <v>46</v>
      </c>
      <c r="C62" s="59">
        <v>59697.531799999997</v>
      </c>
      <c r="D62" s="61">
        <v>1.1000000000000001E-3</v>
      </c>
      <c r="E62">
        <f t="shared" ref="E62" si="8">+(C62-C$7)/C$8</f>
        <v>15751.934315911041</v>
      </c>
      <c r="F62">
        <f t="shared" ref="F62" si="9">ROUND(2*E62,0)/2</f>
        <v>15752</v>
      </c>
      <c r="G62">
        <f t="shared" ref="G62" si="10">+C62-(C$7+F62*C$8)</f>
        <v>-0.10664959999849088</v>
      </c>
      <c r="K62">
        <f>+G62</f>
        <v>-0.10664959999849088</v>
      </c>
      <c r="O62">
        <f t="shared" ref="O62" ca="1" si="11">+C$11+C$12*F62</f>
        <v>-0.11314902798321622</v>
      </c>
      <c r="Q62" s="2">
        <f t="shared" ref="Q62" si="12">+C62-15018.5</f>
        <v>44679.031799999997</v>
      </c>
    </row>
    <row r="63" spans="1:17" x14ac:dyDescent="0.2">
      <c r="C63" s="60"/>
      <c r="D63" s="24"/>
    </row>
    <row r="64" spans="1:17" x14ac:dyDescent="0.2">
      <c r="C64" s="60"/>
      <c r="D64" s="24"/>
    </row>
    <row r="65" spans="3:4" x14ac:dyDescent="0.2">
      <c r="C65" s="60"/>
      <c r="D65" s="24"/>
    </row>
    <row r="66" spans="3:4" x14ac:dyDescent="0.2">
      <c r="C66" s="60"/>
      <c r="D66" s="24"/>
    </row>
    <row r="67" spans="3:4" x14ac:dyDescent="0.2">
      <c r="C67" s="60"/>
      <c r="D67" s="24"/>
    </row>
    <row r="68" spans="3:4" x14ac:dyDescent="0.2">
      <c r="C68" s="60"/>
      <c r="D68" s="24"/>
    </row>
    <row r="69" spans="3:4" x14ac:dyDescent="0.2">
      <c r="C69" s="24"/>
      <c r="D69" s="24"/>
    </row>
    <row r="70" spans="3:4" x14ac:dyDescent="0.2">
      <c r="C70" s="24"/>
      <c r="D70" s="24"/>
    </row>
    <row r="71" spans="3:4" x14ac:dyDescent="0.2">
      <c r="C71" s="24"/>
      <c r="D71" s="24"/>
    </row>
    <row r="72" spans="3:4" x14ac:dyDescent="0.2">
      <c r="C72" s="24"/>
      <c r="D72" s="24"/>
    </row>
    <row r="73" spans="3:4" x14ac:dyDescent="0.2">
      <c r="C73" s="24"/>
      <c r="D73" s="24"/>
    </row>
    <row r="74" spans="3:4" x14ac:dyDescent="0.2">
      <c r="C74" s="24"/>
      <c r="D74" s="24"/>
    </row>
    <row r="75" spans="3:4" x14ac:dyDescent="0.2">
      <c r="C75" s="24"/>
      <c r="D75" s="24"/>
    </row>
    <row r="76" spans="3:4" x14ac:dyDescent="0.2">
      <c r="C76" s="24"/>
      <c r="D76" s="24"/>
    </row>
    <row r="77" spans="3:4" x14ac:dyDescent="0.2">
      <c r="C77" s="24"/>
      <c r="D77" s="24"/>
    </row>
    <row r="78" spans="3:4" x14ac:dyDescent="0.2">
      <c r="C78" s="24"/>
      <c r="D78" s="24"/>
    </row>
    <row r="79" spans="3:4" x14ac:dyDescent="0.2">
      <c r="C79" s="24"/>
      <c r="D79" s="24"/>
    </row>
    <row r="80" spans="3:4" x14ac:dyDescent="0.2">
      <c r="C80" s="24"/>
      <c r="D80" s="24"/>
    </row>
    <row r="81" spans="3:4" x14ac:dyDescent="0.2">
      <c r="C81" s="24"/>
      <c r="D81" s="24"/>
    </row>
    <row r="82" spans="3:4" x14ac:dyDescent="0.2">
      <c r="C82" s="24"/>
      <c r="D82" s="24"/>
    </row>
    <row r="83" spans="3:4" x14ac:dyDescent="0.2">
      <c r="C83" s="24"/>
      <c r="D83" s="24"/>
    </row>
    <row r="84" spans="3:4" x14ac:dyDescent="0.2">
      <c r="C84" s="24"/>
      <c r="D84" s="24"/>
    </row>
    <row r="85" spans="3:4" x14ac:dyDescent="0.2">
      <c r="C85" s="24"/>
      <c r="D85" s="24"/>
    </row>
    <row r="86" spans="3:4" x14ac:dyDescent="0.2">
      <c r="C86" s="24"/>
      <c r="D86" s="24"/>
    </row>
    <row r="87" spans="3:4" x14ac:dyDescent="0.2">
      <c r="C87" s="24"/>
      <c r="D87" s="24"/>
    </row>
    <row r="88" spans="3:4" x14ac:dyDescent="0.2">
      <c r="C88" s="24"/>
      <c r="D88" s="24"/>
    </row>
    <row r="89" spans="3:4" x14ac:dyDescent="0.2">
      <c r="C89" s="24"/>
      <c r="D89" s="24"/>
    </row>
    <row r="90" spans="3:4" x14ac:dyDescent="0.2">
      <c r="C90" s="24"/>
      <c r="D90" s="24"/>
    </row>
    <row r="91" spans="3:4" x14ac:dyDescent="0.2">
      <c r="C91" s="24"/>
      <c r="D91" s="24"/>
    </row>
    <row r="92" spans="3:4" x14ac:dyDescent="0.2">
      <c r="C92" s="24"/>
      <c r="D92" s="24"/>
    </row>
    <row r="93" spans="3:4" x14ac:dyDescent="0.2">
      <c r="C93" s="24"/>
      <c r="D93" s="24"/>
    </row>
    <row r="94" spans="3:4" x14ac:dyDescent="0.2">
      <c r="C94" s="24"/>
      <c r="D94" s="24"/>
    </row>
    <row r="95" spans="3:4" x14ac:dyDescent="0.2">
      <c r="C95" s="24"/>
      <c r="D95" s="24"/>
    </row>
    <row r="96" spans="3:4" x14ac:dyDescent="0.2">
      <c r="C96" s="24"/>
      <c r="D96" s="24"/>
    </row>
    <row r="97" spans="3:4" x14ac:dyDescent="0.2">
      <c r="C97" s="24"/>
      <c r="D97" s="24"/>
    </row>
    <row r="98" spans="3:4" x14ac:dyDescent="0.2">
      <c r="C98" s="24"/>
      <c r="D98" s="24"/>
    </row>
    <row r="99" spans="3:4" x14ac:dyDescent="0.2">
      <c r="C99" s="24"/>
      <c r="D99" s="24"/>
    </row>
    <row r="100" spans="3:4" x14ac:dyDescent="0.2">
      <c r="C100" s="24"/>
      <c r="D100" s="24"/>
    </row>
    <row r="101" spans="3:4" x14ac:dyDescent="0.2">
      <c r="C101" s="24"/>
      <c r="D101" s="24"/>
    </row>
    <row r="102" spans="3:4" x14ac:dyDescent="0.2">
      <c r="C102" s="24"/>
      <c r="D102" s="24"/>
    </row>
    <row r="103" spans="3:4" x14ac:dyDescent="0.2">
      <c r="C103" s="24"/>
      <c r="D103" s="24"/>
    </row>
    <row r="104" spans="3:4" x14ac:dyDescent="0.2">
      <c r="C104" s="24"/>
      <c r="D104" s="24"/>
    </row>
    <row r="105" spans="3:4" x14ac:dyDescent="0.2">
      <c r="C105" s="24"/>
      <c r="D105" s="24"/>
    </row>
    <row r="106" spans="3:4" x14ac:dyDescent="0.2">
      <c r="C106" s="24"/>
      <c r="D106" s="24"/>
    </row>
    <row r="107" spans="3:4" x14ac:dyDescent="0.2">
      <c r="C107" s="24"/>
      <c r="D107" s="24"/>
    </row>
    <row r="108" spans="3:4" x14ac:dyDescent="0.2">
      <c r="C108" s="24"/>
      <c r="D108" s="24"/>
    </row>
    <row r="109" spans="3:4" x14ac:dyDescent="0.2">
      <c r="C109" s="24"/>
      <c r="D109" s="24"/>
    </row>
    <row r="110" spans="3:4" x14ac:dyDescent="0.2">
      <c r="C110" s="24"/>
      <c r="D110" s="24"/>
    </row>
    <row r="111" spans="3:4" x14ac:dyDescent="0.2">
      <c r="C111" s="24"/>
      <c r="D111" s="24"/>
    </row>
    <row r="112" spans="3:4" x14ac:dyDescent="0.2">
      <c r="C112" s="24"/>
      <c r="D112" s="24"/>
    </row>
    <row r="113" spans="3:4" x14ac:dyDescent="0.2">
      <c r="C113" s="24"/>
      <c r="D113" s="24"/>
    </row>
    <row r="114" spans="3:4" x14ac:dyDescent="0.2">
      <c r="C114" s="24"/>
      <c r="D114" s="24"/>
    </row>
    <row r="115" spans="3:4" x14ac:dyDescent="0.2">
      <c r="C115" s="24"/>
      <c r="D115" s="24"/>
    </row>
    <row r="116" spans="3:4" x14ac:dyDescent="0.2">
      <c r="C116" s="24"/>
      <c r="D116" s="24"/>
    </row>
    <row r="117" spans="3:4" x14ac:dyDescent="0.2">
      <c r="C117" s="24"/>
      <c r="D117" s="24"/>
    </row>
    <row r="118" spans="3:4" x14ac:dyDescent="0.2">
      <c r="C118" s="24"/>
      <c r="D118" s="24"/>
    </row>
    <row r="119" spans="3:4" x14ac:dyDescent="0.2">
      <c r="C119" s="24"/>
      <c r="D119" s="24"/>
    </row>
    <row r="120" spans="3:4" x14ac:dyDescent="0.2">
      <c r="C120" s="24"/>
      <c r="D120" s="24"/>
    </row>
    <row r="121" spans="3:4" x14ac:dyDescent="0.2">
      <c r="C121" s="24"/>
      <c r="D121" s="24"/>
    </row>
    <row r="122" spans="3:4" x14ac:dyDescent="0.2">
      <c r="C122" s="24"/>
      <c r="D122" s="24"/>
    </row>
    <row r="123" spans="3:4" x14ac:dyDescent="0.2">
      <c r="C123" s="24"/>
      <c r="D123" s="24"/>
    </row>
    <row r="124" spans="3:4" x14ac:dyDescent="0.2">
      <c r="C124" s="24"/>
      <c r="D124" s="24"/>
    </row>
    <row r="125" spans="3:4" x14ac:dyDescent="0.2">
      <c r="C125" s="24"/>
      <c r="D125" s="24"/>
    </row>
    <row r="126" spans="3:4" x14ac:dyDescent="0.2">
      <c r="C126" s="24"/>
      <c r="D126" s="24"/>
    </row>
    <row r="127" spans="3:4" x14ac:dyDescent="0.2">
      <c r="C127" s="24"/>
      <c r="D127" s="24"/>
    </row>
    <row r="128" spans="3:4" x14ac:dyDescent="0.2">
      <c r="C128" s="24"/>
      <c r="D128" s="24"/>
    </row>
    <row r="129" spans="3:4" x14ac:dyDescent="0.2">
      <c r="C129" s="24"/>
      <c r="D129" s="24"/>
    </row>
    <row r="130" spans="3:4" x14ac:dyDescent="0.2">
      <c r="C130" s="24"/>
      <c r="D130" s="24"/>
    </row>
    <row r="131" spans="3:4" x14ac:dyDescent="0.2">
      <c r="C131" s="24"/>
      <c r="D131" s="24"/>
    </row>
    <row r="132" spans="3:4" x14ac:dyDescent="0.2">
      <c r="C132" s="24"/>
      <c r="D132" s="24"/>
    </row>
    <row r="133" spans="3:4" x14ac:dyDescent="0.2">
      <c r="C133" s="24"/>
      <c r="D133" s="24"/>
    </row>
    <row r="134" spans="3:4" x14ac:dyDescent="0.2">
      <c r="C134" s="24"/>
      <c r="D134" s="24"/>
    </row>
    <row r="135" spans="3:4" x14ac:dyDescent="0.2">
      <c r="C135" s="24"/>
      <c r="D135" s="24"/>
    </row>
    <row r="136" spans="3:4" x14ac:dyDescent="0.2">
      <c r="C136" s="24"/>
      <c r="D136" s="24"/>
    </row>
    <row r="137" spans="3:4" x14ac:dyDescent="0.2">
      <c r="C137" s="24"/>
      <c r="D137" s="24"/>
    </row>
    <row r="138" spans="3:4" x14ac:dyDescent="0.2">
      <c r="C138" s="24"/>
      <c r="D138" s="24"/>
    </row>
    <row r="139" spans="3:4" x14ac:dyDescent="0.2">
      <c r="C139" s="24"/>
      <c r="D139" s="24"/>
    </row>
    <row r="140" spans="3:4" x14ac:dyDescent="0.2">
      <c r="C140" s="24"/>
      <c r="D140" s="24"/>
    </row>
    <row r="141" spans="3:4" x14ac:dyDescent="0.2">
      <c r="C141" s="24"/>
      <c r="D141" s="24"/>
    </row>
    <row r="142" spans="3:4" x14ac:dyDescent="0.2">
      <c r="C142" s="24"/>
      <c r="D142" s="24"/>
    </row>
    <row r="143" spans="3:4" x14ac:dyDescent="0.2">
      <c r="C143" s="24"/>
      <c r="D143" s="24"/>
    </row>
    <row r="144" spans="3:4" x14ac:dyDescent="0.2">
      <c r="C144" s="24"/>
      <c r="D144" s="24"/>
    </row>
    <row r="145" spans="3:4" x14ac:dyDescent="0.2">
      <c r="C145" s="24"/>
      <c r="D145" s="24"/>
    </row>
    <row r="146" spans="3:4" x14ac:dyDescent="0.2">
      <c r="C146" s="24"/>
      <c r="D146" s="24"/>
    </row>
    <row r="147" spans="3:4" x14ac:dyDescent="0.2">
      <c r="C147" s="24"/>
      <c r="D147" s="24"/>
    </row>
    <row r="148" spans="3:4" x14ac:dyDescent="0.2">
      <c r="C148" s="24"/>
      <c r="D148" s="24"/>
    </row>
    <row r="149" spans="3:4" x14ac:dyDescent="0.2">
      <c r="C149" s="24"/>
      <c r="D149" s="24"/>
    </row>
    <row r="150" spans="3:4" x14ac:dyDescent="0.2">
      <c r="C150" s="24"/>
      <c r="D150" s="24"/>
    </row>
    <row r="151" spans="3:4" x14ac:dyDescent="0.2">
      <c r="C151" s="24"/>
      <c r="D151" s="24"/>
    </row>
    <row r="152" spans="3:4" x14ac:dyDescent="0.2">
      <c r="C152" s="24"/>
      <c r="D152" s="24"/>
    </row>
    <row r="153" spans="3:4" x14ac:dyDescent="0.2">
      <c r="C153" s="24"/>
      <c r="D153" s="24"/>
    </row>
    <row r="154" spans="3:4" x14ac:dyDescent="0.2">
      <c r="C154" s="24"/>
      <c r="D154" s="24"/>
    </row>
    <row r="155" spans="3:4" x14ac:dyDescent="0.2">
      <c r="C155" s="24"/>
      <c r="D155" s="24"/>
    </row>
    <row r="156" spans="3:4" x14ac:dyDescent="0.2">
      <c r="C156" s="24"/>
      <c r="D156" s="24"/>
    </row>
    <row r="157" spans="3:4" x14ac:dyDescent="0.2">
      <c r="C157" s="24"/>
      <c r="D157" s="24"/>
    </row>
  </sheetData>
  <phoneticPr fontId="8" type="noConversion"/>
  <hyperlinks>
    <hyperlink ref="H961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9"/>
  <sheetViews>
    <sheetView topLeftCell="A2" workbookViewId="0">
      <selection activeCell="A20" sqref="A20:D49"/>
    </sheetView>
  </sheetViews>
  <sheetFormatPr defaultRowHeight="12.75" x14ac:dyDescent="0.2"/>
  <cols>
    <col min="1" max="1" width="19.7109375" style="24" customWidth="1"/>
    <col min="2" max="2" width="4.42578125" style="12" customWidth="1"/>
    <col min="3" max="3" width="12.7109375" style="2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2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2" t="s">
        <v>52</v>
      </c>
      <c r="I1" s="33" t="s">
        <v>53</v>
      </c>
      <c r="J1" s="34" t="s">
        <v>54</v>
      </c>
    </row>
    <row r="2" spans="1:16" x14ac:dyDescent="0.2">
      <c r="I2" s="35" t="s">
        <v>55</v>
      </c>
      <c r="J2" s="36" t="s">
        <v>56</v>
      </c>
    </row>
    <row r="3" spans="1:16" x14ac:dyDescent="0.2">
      <c r="A3" s="37" t="s">
        <v>57</v>
      </c>
      <c r="I3" s="35" t="s">
        <v>58</v>
      </c>
      <c r="J3" s="36" t="s">
        <v>59</v>
      </c>
    </row>
    <row r="4" spans="1:16" x14ac:dyDescent="0.2">
      <c r="I4" s="35" t="s">
        <v>60</v>
      </c>
      <c r="J4" s="36" t="s">
        <v>59</v>
      </c>
    </row>
    <row r="5" spans="1:16" ht="13.5" thickBot="1" x14ac:dyDescent="0.25">
      <c r="I5" s="38" t="s">
        <v>61</v>
      </c>
      <c r="J5" s="39" t="s">
        <v>62</v>
      </c>
    </row>
    <row r="10" spans="1:16" ht="13.5" thickBot="1" x14ac:dyDescent="0.25"/>
    <row r="11" spans="1:16" ht="12.75" customHeight="1" thickBot="1" x14ac:dyDescent="0.25">
      <c r="A11" s="24" t="str">
        <f t="shared" ref="A11:A49" si="0">P11</f>
        <v>BAVM 241 (=IBVS 6157) </v>
      </c>
      <c r="B11" s="5" t="str">
        <f t="shared" ref="B11:B49" si="1">IF(H11=INT(H11),"I","II")</f>
        <v>I</v>
      </c>
      <c r="C11" s="24">
        <f t="shared" ref="C11:C49" si="2">1*G11</f>
        <v>56841.497499999998</v>
      </c>
      <c r="D11" s="12" t="str">
        <f t="shared" ref="D11:D49" si="3">VLOOKUP(F11,I$1:J$5,2,FALSE)</f>
        <v>vis</v>
      </c>
      <c r="E11" s="40">
        <f>VLOOKUP(C11,Active!C$21:E$973,3,FALSE)</f>
        <v>13992.940273507969</v>
      </c>
      <c r="F11" s="5" t="s">
        <v>61</v>
      </c>
      <c r="G11" s="12" t="str">
        <f t="shared" ref="G11:G49" si="4">MID(I11,3,LEN(I11)-3)</f>
        <v>56841.4975</v>
      </c>
      <c r="H11" s="24">
        <f t="shared" ref="H11:H49" si="5">1*K11</f>
        <v>13993</v>
      </c>
      <c r="I11" s="41" t="s">
        <v>213</v>
      </c>
      <c r="J11" s="42" t="s">
        <v>214</v>
      </c>
      <c r="K11" s="41" t="s">
        <v>215</v>
      </c>
      <c r="L11" s="41" t="s">
        <v>216</v>
      </c>
      <c r="M11" s="42" t="s">
        <v>154</v>
      </c>
      <c r="N11" s="42" t="s">
        <v>61</v>
      </c>
      <c r="O11" s="43" t="s">
        <v>217</v>
      </c>
      <c r="P11" s="44" t="s">
        <v>218</v>
      </c>
    </row>
    <row r="12" spans="1:16" ht="12.75" customHeight="1" thickBot="1" x14ac:dyDescent="0.25">
      <c r="A12" s="24" t="str">
        <f t="shared" si="0"/>
        <v> BBS 102 </v>
      </c>
      <c r="B12" s="5" t="str">
        <f t="shared" si="1"/>
        <v>I</v>
      </c>
      <c r="C12" s="24">
        <f t="shared" si="2"/>
        <v>48877.427000000003</v>
      </c>
      <c r="D12" s="12" t="str">
        <f t="shared" si="3"/>
        <v>vis</v>
      </c>
      <c r="E12" s="40">
        <f>VLOOKUP(C12,Active!C$21:E$973,3,FALSE)</f>
        <v>9087.9737740586988</v>
      </c>
      <c r="F12" s="5" t="s">
        <v>61</v>
      </c>
      <c r="G12" s="12" t="str">
        <f t="shared" si="4"/>
        <v>48877.427</v>
      </c>
      <c r="H12" s="24">
        <f t="shared" si="5"/>
        <v>9088</v>
      </c>
      <c r="I12" s="41" t="s">
        <v>137</v>
      </c>
      <c r="J12" s="42" t="s">
        <v>138</v>
      </c>
      <c r="K12" s="41">
        <v>9088</v>
      </c>
      <c r="L12" s="41" t="s">
        <v>139</v>
      </c>
      <c r="M12" s="42" t="s">
        <v>140</v>
      </c>
      <c r="N12" s="42"/>
      <c r="O12" s="43" t="s">
        <v>141</v>
      </c>
      <c r="P12" s="43" t="s">
        <v>142</v>
      </c>
    </row>
    <row r="13" spans="1:16" ht="12.75" customHeight="1" thickBot="1" x14ac:dyDescent="0.25">
      <c r="A13" s="24" t="str">
        <f t="shared" si="0"/>
        <v> BBS 105 </v>
      </c>
      <c r="B13" s="5" t="str">
        <f t="shared" si="1"/>
        <v>I</v>
      </c>
      <c r="C13" s="24">
        <f t="shared" si="2"/>
        <v>49200.493999999999</v>
      </c>
      <c r="D13" s="12" t="str">
        <f t="shared" si="3"/>
        <v>vis</v>
      </c>
      <c r="E13" s="40">
        <f>VLOOKUP(C13,Active!C$21:E$973,3,FALSE)</f>
        <v>9286.9464993852216</v>
      </c>
      <c r="F13" s="5" t="s">
        <v>61</v>
      </c>
      <c r="G13" s="12" t="str">
        <f t="shared" si="4"/>
        <v>49200.494</v>
      </c>
      <c r="H13" s="24">
        <f t="shared" si="5"/>
        <v>9287</v>
      </c>
      <c r="I13" s="41" t="s">
        <v>143</v>
      </c>
      <c r="J13" s="42" t="s">
        <v>144</v>
      </c>
      <c r="K13" s="41">
        <v>9287</v>
      </c>
      <c r="L13" s="41" t="s">
        <v>145</v>
      </c>
      <c r="M13" s="42" t="s">
        <v>140</v>
      </c>
      <c r="N13" s="42"/>
      <c r="O13" s="43" t="s">
        <v>141</v>
      </c>
      <c r="P13" s="43" t="s">
        <v>146</v>
      </c>
    </row>
    <row r="14" spans="1:16" ht="12.75" customHeight="1" thickBot="1" x14ac:dyDescent="0.25">
      <c r="A14" s="24" t="str">
        <f t="shared" si="0"/>
        <v> BBS 106 </v>
      </c>
      <c r="B14" s="5" t="str">
        <f t="shared" si="1"/>
        <v>I</v>
      </c>
      <c r="C14" s="24">
        <f t="shared" si="2"/>
        <v>49296.324999999997</v>
      </c>
      <c r="D14" s="12" t="str">
        <f t="shared" si="3"/>
        <v>vis</v>
      </c>
      <c r="E14" s="40">
        <f>VLOOKUP(C14,Active!C$21:E$973,3,FALSE)</f>
        <v>9345.9675545866685</v>
      </c>
      <c r="F14" s="5" t="s">
        <v>61</v>
      </c>
      <c r="G14" s="12" t="str">
        <f t="shared" si="4"/>
        <v>49296.325</v>
      </c>
      <c r="H14" s="24">
        <f t="shared" si="5"/>
        <v>9346</v>
      </c>
      <c r="I14" s="41" t="s">
        <v>147</v>
      </c>
      <c r="J14" s="42" t="s">
        <v>148</v>
      </c>
      <c r="K14" s="41">
        <v>9346</v>
      </c>
      <c r="L14" s="41" t="s">
        <v>149</v>
      </c>
      <c r="M14" s="42" t="s">
        <v>140</v>
      </c>
      <c r="N14" s="42"/>
      <c r="O14" s="43" t="s">
        <v>141</v>
      </c>
      <c r="P14" s="43" t="s">
        <v>150</v>
      </c>
    </row>
    <row r="15" spans="1:16" ht="12.75" customHeight="1" thickBot="1" x14ac:dyDescent="0.25">
      <c r="A15" s="24" t="str">
        <f t="shared" si="0"/>
        <v>BAVM 183 </v>
      </c>
      <c r="B15" s="5" t="str">
        <f t="shared" si="1"/>
        <v>II</v>
      </c>
      <c r="C15" s="24">
        <f t="shared" si="2"/>
        <v>50693.481200000002</v>
      </c>
      <c r="D15" s="12" t="str">
        <f t="shared" si="3"/>
        <v>vis</v>
      </c>
      <c r="E15" s="40">
        <f>VLOOKUP(C15,Active!C$21:E$973,3,FALSE)</f>
        <v>10206.457721706343</v>
      </c>
      <c r="F15" s="5" t="s">
        <v>61</v>
      </c>
      <c r="G15" s="12" t="str">
        <f t="shared" si="4"/>
        <v>50693.4812</v>
      </c>
      <c r="H15" s="24">
        <f t="shared" si="5"/>
        <v>10206.5</v>
      </c>
      <c r="I15" s="41" t="s">
        <v>151</v>
      </c>
      <c r="J15" s="42" t="s">
        <v>152</v>
      </c>
      <c r="K15" s="41">
        <v>10206.5</v>
      </c>
      <c r="L15" s="41" t="s">
        <v>153</v>
      </c>
      <c r="M15" s="42" t="s">
        <v>154</v>
      </c>
      <c r="N15" s="42" t="s">
        <v>155</v>
      </c>
      <c r="O15" s="43" t="s">
        <v>135</v>
      </c>
      <c r="P15" s="44" t="s">
        <v>156</v>
      </c>
    </row>
    <row r="16" spans="1:16" ht="12.75" customHeight="1" thickBot="1" x14ac:dyDescent="0.25">
      <c r="A16" s="24" t="str">
        <f t="shared" si="0"/>
        <v>BAVM 183 </v>
      </c>
      <c r="B16" s="5" t="str">
        <f t="shared" si="1"/>
        <v>II</v>
      </c>
      <c r="C16" s="24">
        <f t="shared" si="2"/>
        <v>54025.256999999998</v>
      </c>
      <c r="D16" s="12" t="str">
        <f t="shared" si="3"/>
        <v>vis</v>
      </c>
      <c r="E16" s="40">
        <f>VLOOKUP(C16,Active!C$21:E$973,3,FALSE)</f>
        <v>12258.454710265873</v>
      </c>
      <c r="F16" s="5" t="s">
        <v>61</v>
      </c>
      <c r="G16" s="12" t="str">
        <f t="shared" si="4"/>
        <v>54025.2570</v>
      </c>
      <c r="H16" s="24">
        <f t="shared" si="5"/>
        <v>12258.5</v>
      </c>
      <c r="I16" s="41" t="s">
        <v>157</v>
      </c>
      <c r="J16" s="42" t="s">
        <v>158</v>
      </c>
      <c r="K16" s="41">
        <v>12258.5</v>
      </c>
      <c r="L16" s="41" t="s">
        <v>159</v>
      </c>
      <c r="M16" s="42" t="s">
        <v>154</v>
      </c>
      <c r="N16" s="42" t="s">
        <v>160</v>
      </c>
      <c r="O16" s="43" t="s">
        <v>135</v>
      </c>
      <c r="P16" s="44" t="s">
        <v>156</v>
      </c>
    </row>
    <row r="17" spans="1:16" ht="12.75" customHeight="1" thickBot="1" x14ac:dyDescent="0.25">
      <c r="A17" s="24" t="str">
        <f t="shared" si="0"/>
        <v>OEJV 0074 </v>
      </c>
      <c r="B17" s="5" t="str">
        <f t="shared" si="1"/>
        <v>I</v>
      </c>
      <c r="C17" s="24">
        <f t="shared" si="2"/>
        <v>54339.423949999997</v>
      </c>
      <c r="D17" s="12" t="str">
        <f t="shared" si="3"/>
        <v>vis</v>
      </c>
      <c r="E17" s="40">
        <f>VLOOKUP(C17,Active!C$21:E$973,3,FALSE)</f>
        <v>12451.946011602813</v>
      </c>
      <c r="F17" s="5" t="s">
        <v>61</v>
      </c>
      <c r="G17" s="12" t="str">
        <f t="shared" si="4"/>
        <v>54339.42395</v>
      </c>
      <c r="H17" s="24">
        <f t="shared" si="5"/>
        <v>12452</v>
      </c>
      <c r="I17" s="41" t="s">
        <v>161</v>
      </c>
      <c r="J17" s="42" t="s">
        <v>162</v>
      </c>
      <c r="K17" s="41" t="s">
        <v>163</v>
      </c>
      <c r="L17" s="41" t="s">
        <v>164</v>
      </c>
      <c r="M17" s="42" t="s">
        <v>154</v>
      </c>
      <c r="N17" s="42" t="s">
        <v>165</v>
      </c>
      <c r="O17" s="43" t="s">
        <v>166</v>
      </c>
      <c r="P17" s="44" t="s">
        <v>167</v>
      </c>
    </row>
    <row r="18" spans="1:16" ht="12.75" customHeight="1" thickBot="1" x14ac:dyDescent="0.25">
      <c r="A18" s="24" t="str">
        <f t="shared" si="0"/>
        <v>BAVM 215 </v>
      </c>
      <c r="B18" s="5" t="str">
        <f t="shared" si="1"/>
        <v>I</v>
      </c>
      <c r="C18" s="24">
        <f t="shared" si="2"/>
        <v>55461.383000000002</v>
      </c>
      <c r="D18" s="12" t="str">
        <f t="shared" si="3"/>
        <v>vis</v>
      </c>
      <c r="E18" s="40">
        <f>VLOOKUP(C18,Active!C$21:E$973,3,FALSE)</f>
        <v>13142.945865760805</v>
      </c>
      <c r="F18" s="5" t="s">
        <v>61</v>
      </c>
      <c r="G18" s="12" t="str">
        <f t="shared" si="4"/>
        <v>55461.3830</v>
      </c>
      <c r="H18" s="24">
        <f t="shared" si="5"/>
        <v>13143</v>
      </c>
      <c r="I18" s="41" t="s">
        <v>191</v>
      </c>
      <c r="J18" s="42" t="s">
        <v>192</v>
      </c>
      <c r="K18" s="41" t="s">
        <v>193</v>
      </c>
      <c r="L18" s="41" t="s">
        <v>194</v>
      </c>
      <c r="M18" s="42" t="s">
        <v>154</v>
      </c>
      <c r="N18" s="42" t="s">
        <v>61</v>
      </c>
      <c r="O18" s="43" t="s">
        <v>171</v>
      </c>
      <c r="P18" s="44" t="s">
        <v>195</v>
      </c>
    </row>
    <row r="19" spans="1:16" ht="12.75" customHeight="1" thickBot="1" x14ac:dyDescent="0.25">
      <c r="A19" s="24" t="str">
        <f t="shared" si="0"/>
        <v>BAVM 231 </v>
      </c>
      <c r="B19" s="5" t="str">
        <f t="shared" si="1"/>
        <v>I</v>
      </c>
      <c r="C19" s="24">
        <f t="shared" si="2"/>
        <v>56203.398800000003</v>
      </c>
      <c r="D19" s="12" t="str">
        <f t="shared" si="3"/>
        <v>vis</v>
      </c>
      <c r="E19" s="40">
        <f>VLOOKUP(C19,Active!C$21:E$973,3,FALSE)</f>
        <v>13599.943658668597</v>
      </c>
      <c r="F19" s="5" t="s">
        <v>61</v>
      </c>
      <c r="G19" s="12" t="str">
        <f t="shared" si="4"/>
        <v>56203.3988</v>
      </c>
      <c r="H19" s="24">
        <f t="shared" si="5"/>
        <v>13600</v>
      </c>
      <c r="I19" s="41" t="s">
        <v>208</v>
      </c>
      <c r="J19" s="42" t="s">
        <v>209</v>
      </c>
      <c r="K19" s="41" t="s">
        <v>210</v>
      </c>
      <c r="L19" s="41" t="s">
        <v>211</v>
      </c>
      <c r="M19" s="42" t="s">
        <v>154</v>
      </c>
      <c r="N19" s="42" t="s">
        <v>160</v>
      </c>
      <c r="O19" s="43" t="s">
        <v>171</v>
      </c>
      <c r="P19" s="44" t="s">
        <v>212</v>
      </c>
    </row>
    <row r="20" spans="1:16" ht="12.75" customHeight="1" thickBot="1" x14ac:dyDescent="0.25">
      <c r="A20" s="24" t="str">
        <f t="shared" si="0"/>
        <v> AHSB 6.1.60 </v>
      </c>
      <c r="B20" s="5" t="str">
        <f t="shared" si="1"/>
        <v>I</v>
      </c>
      <c r="C20" s="24">
        <f t="shared" si="2"/>
        <v>32775.449999999997</v>
      </c>
      <c r="D20" s="12" t="str">
        <f t="shared" si="3"/>
        <v>vis</v>
      </c>
      <c r="E20" s="40">
        <f>VLOOKUP(C20,Active!C$21:E$973,3,FALSE)</f>
        <v>-829.02253579349872</v>
      </c>
      <c r="F20" s="5" t="s">
        <v>61</v>
      </c>
      <c r="G20" s="12" t="str">
        <f t="shared" si="4"/>
        <v>32775.450</v>
      </c>
      <c r="H20" s="24">
        <f t="shared" si="5"/>
        <v>-829</v>
      </c>
      <c r="I20" s="41" t="s">
        <v>64</v>
      </c>
      <c r="J20" s="42" t="s">
        <v>65</v>
      </c>
      <c r="K20" s="41">
        <v>-829</v>
      </c>
      <c r="L20" s="41" t="s">
        <v>66</v>
      </c>
      <c r="M20" s="42" t="s">
        <v>67</v>
      </c>
      <c r="N20" s="42"/>
      <c r="O20" s="43" t="s">
        <v>68</v>
      </c>
      <c r="P20" s="43" t="s">
        <v>69</v>
      </c>
    </row>
    <row r="21" spans="1:16" ht="12.75" customHeight="1" thickBot="1" x14ac:dyDescent="0.25">
      <c r="A21" s="24" t="str">
        <f t="shared" si="0"/>
        <v> AHSB 6.1.60 </v>
      </c>
      <c r="B21" s="5" t="str">
        <f t="shared" si="1"/>
        <v>I</v>
      </c>
      <c r="C21" s="24">
        <f t="shared" si="2"/>
        <v>32793.394999999997</v>
      </c>
      <c r="D21" s="12" t="str">
        <f t="shared" si="3"/>
        <v>vis</v>
      </c>
      <c r="E21" s="40">
        <f>VLOOKUP(C21,Active!C$21:E$973,3,FALSE)</f>
        <v>-817.97044580602108</v>
      </c>
      <c r="F21" s="5" t="s">
        <v>61</v>
      </c>
      <c r="G21" s="12" t="str">
        <f t="shared" si="4"/>
        <v>32793.395</v>
      </c>
      <c r="H21" s="24">
        <f t="shared" si="5"/>
        <v>-818</v>
      </c>
      <c r="I21" s="41" t="s">
        <v>70</v>
      </c>
      <c r="J21" s="42" t="s">
        <v>71</v>
      </c>
      <c r="K21" s="41">
        <v>-818</v>
      </c>
      <c r="L21" s="41" t="s">
        <v>72</v>
      </c>
      <c r="M21" s="42" t="s">
        <v>67</v>
      </c>
      <c r="N21" s="42"/>
      <c r="O21" s="43" t="s">
        <v>68</v>
      </c>
      <c r="P21" s="43" t="s">
        <v>69</v>
      </c>
    </row>
    <row r="22" spans="1:16" ht="12.75" customHeight="1" thickBot="1" x14ac:dyDescent="0.25">
      <c r="A22" s="24" t="str">
        <f t="shared" si="0"/>
        <v> AHSB 6.1.60 </v>
      </c>
      <c r="B22" s="5" t="str">
        <f t="shared" si="1"/>
        <v>I</v>
      </c>
      <c r="C22" s="24">
        <f t="shared" si="2"/>
        <v>33504.5</v>
      </c>
      <c r="D22" s="12" t="str">
        <f t="shared" si="3"/>
        <v>vis</v>
      </c>
      <c r="E22" s="40">
        <f>VLOOKUP(C22,Active!C$21:E$973,3,FALSE)</f>
        <v>-380.01020894085377</v>
      </c>
      <c r="F22" s="5" t="s">
        <v>61</v>
      </c>
      <c r="G22" s="12" t="str">
        <f t="shared" si="4"/>
        <v>33504.500</v>
      </c>
      <c r="H22" s="24">
        <f t="shared" si="5"/>
        <v>-380</v>
      </c>
      <c r="I22" s="41" t="s">
        <v>73</v>
      </c>
      <c r="J22" s="42" t="s">
        <v>74</v>
      </c>
      <c r="K22" s="41">
        <v>-380</v>
      </c>
      <c r="L22" s="41" t="s">
        <v>75</v>
      </c>
      <c r="M22" s="42" t="s">
        <v>67</v>
      </c>
      <c r="N22" s="42"/>
      <c r="O22" s="43" t="s">
        <v>68</v>
      </c>
      <c r="P22" s="43" t="s">
        <v>69</v>
      </c>
    </row>
    <row r="23" spans="1:16" ht="12.75" customHeight="1" thickBot="1" x14ac:dyDescent="0.25">
      <c r="A23" s="24" t="str">
        <f t="shared" si="0"/>
        <v> AHSB 6.1.60 </v>
      </c>
      <c r="B23" s="5" t="str">
        <f t="shared" si="1"/>
        <v>I</v>
      </c>
      <c r="C23" s="24">
        <f t="shared" si="2"/>
        <v>34121.519999999997</v>
      </c>
      <c r="D23" s="12" t="str">
        <f t="shared" si="3"/>
        <v>vis</v>
      </c>
      <c r="E23" s="40">
        <f>VLOOKUP(C23,Active!C$21:E$973,3,FALSE)</f>
        <v>4.311208129724073E-3</v>
      </c>
      <c r="F23" s="5" t="s">
        <v>61</v>
      </c>
      <c r="G23" s="12" t="str">
        <f t="shared" si="4"/>
        <v>34121.520</v>
      </c>
      <c r="H23" s="24">
        <f t="shared" si="5"/>
        <v>0</v>
      </c>
      <c r="I23" s="41" t="s">
        <v>76</v>
      </c>
      <c r="J23" s="42" t="s">
        <v>77</v>
      </c>
      <c r="K23" s="41">
        <v>0</v>
      </c>
      <c r="L23" s="41" t="s">
        <v>78</v>
      </c>
      <c r="M23" s="42" t="s">
        <v>67</v>
      </c>
      <c r="N23" s="42"/>
      <c r="O23" s="43" t="s">
        <v>68</v>
      </c>
      <c r="P23" s="43" t="s">
        <v>69</v>
      </c>
    </row>
    <row r="24" spans="1:16" ht="12.75" customHeight="1" thickBot="1" x14ac:dyDescent="0.25">
      <c r="A24" s="24" t="str">
        <f t="shared" si="0"/>
        <v> AHSB 6.1.60 </v>
      </c>
      <c r="B24" s="5" t="str">
        <f t="shared" si="1"/>
        <v>I</v>
      </c>
      <c r="C24" s="24">
        <f t="shared" si="2"/>
        <v>34134.51</v>
      </c>
      <c r="D24" s="12" t="str">
        <f t="shared" si="3"/>
        <v>vis</v>
      </c>
      <c r="E24" s="40">
        <f>VLOOKUP(C24,Active!C$21:E$973,3,FALSE)</f>
        <v>8.0046817256774734</v>
      </c>
      <c r="F24" s="5" t="s">
        <v>61</v>
      </c>
      <c r="G24" s="12" t="str">
        <f t="shared" si="4"/>
        <v>34134.510</v>
      </c>
      <c r="H24" s="24">
        <f t="shared" si="5"/>
        <v>8</v>
      </c>
      <c r="I24" s="41" t="s">
        <v>79</v>
      </c>
      <c r="J24" s="42" t="s">
        <v>80</v>
      </c>
      <c r="K24" s="41">
        <v>8</v>
      </c>
      <c r="L24" s="41" t="s">
        <v>81</v>
      </c>
      <c r="M24" s="42" t="s">
        <v>67</v>
      </c>
      <c r="N24" s="42"/>
      <c r="O24" s="43" t="s">
        <v>68</v>
      </c>
      <c r="P24" s="43" t="s">
        <v>69</v>
      </c>
    </row>
    <row r="25" spans="1:16" ht="12.75" customHeight="1" thickBot="1" x14ac:dyDescent="0.25">
      <c r="A25" s="24" t="str">
        <f t="shared" si="0"/>
        <v> AHSB 6.1.60 </v>
      </c>
      <c r="B25" s="5" t="str">
        <f t="shared" si="1"/>
        <v>I</v>
      </c>
      <c r="C25" s="24">
        <f t="shared" si="2"/>
        <v>34238.43</v>
      </c>
      <c r="D25" s="12" t="str">
        <f t="shared" si="3"/>
        <v>vis</v>
      </c>
      <c r="E25" s="40">
        <f>VLOOKUP(C25,Active!C$21:E$973,3,FALSE)</f>
        <v>72.007645866032576</v>
      </c>
      <c r="F25" s="5" t="s">
        <v>61</v>
      </c>
      <c r="G25" s="12" t="str">
        <f t="shared" si="4"/>
        <v>34238.430</v>
      </c>
      <c r="H25" s="24">
        <f t="shared" si="5"/>
        <v>72</v>
      </c>
      <c r="I25" s="41" t="s">
        <v>82</v>
      </c>
      <c r="J25" s="42" t="s">
        <v>83</v>
      </c>
      <c r="K25" s="41">
        <v>72</v>
      </c>
      <c r="L25" s="41" t="s">
        <v>84</v>
      </c>
      <c r="M25" s="42" t="s">
        <v>67</v>
      </c>
      <c r="N25" s="42"/>
      <c r="O25" s="43" t="s">
        <v>68</v>
      </c>
      <c r="P25" s="43" t="s">
        <v>69</v>
      </c>
    </row>
    <row r="26" spans="1:16" ht="12.75" customHeight="1" thickBot="1" x14ac:dyDescent="0.25">
      <c r="A26" s="24" t="str">
        <f t="shared" si="0"/>
        <v> AHSB 6.1.60 </v>
      </c>
      <c r="B26" s="5" t="str">
        <f t="shared" si="1"/>
        <v>I</v>
      </c>
      <c r="C26" s="24">
        <f t="shared" si="2"/>
        <v>34600.504999999997</v>
      </c>
      <c r="D26" s="12" t="str">
        <f t="shared" si="3"/>
        <v>vis</v>
      </c>
      <c r="E26" s="40">
        <f>VLOOKUP(C26,Active!C$21:E$973,3,FALSE)</f>
        <v>295.00488644647214</v>
      </c>
      <c r="F26" s="5" t="s">
        <v>61</v>
      </c>
      <c r="G26" s="12" t="str">
        <f t="shared" si="4"/>
        <v>34600.505</v>
      </c>
      <c r="H26" s="24">
        <f t="shared" si="5"/>
        <v>295</v>
      </c>
      <c r="I26" s="41" t="s">
        <v>85</v>
      </c>
      <c r="J26" s="42" t="s">
        <v>86</v>
      </c>
      <c r="K26" s="41">
        <v>295</v>
      </c>
      <c r="L26" s="41" t="s">
        <v>81</v>
      </c>
      <c r="M26" s="42" t="s">
        <v>67</v>
      </c>
      <c r="N26" s="42"/>
      <c r="O26" s="43" t="s">
        <v>68</v>
      </c>
      <c r="P26" s="43" t="s">
        <v>69</v>
      </c>
    </row>
    <row r="27" spans="1:16" ht="12.75" customHeight="1" thickBot="1" x14ac:dyDescent="0.25">
      <c r="A27" s="24" t="str">
        <f t="shared" si="0"/>
        <v> AHSB 6.1.60 </v>
      </c>
      <c r="B27" s="5" t="str">
        <f t="shared" si="1"/>
        <v>I</v>
      </c>
      <c r="C27" s="24">
        <f t="shared" si="2"/>
        <v>34626.47</v>
      </c>
      <c r="D27" s="12" t="str">
        <f t="shared" si="3"/>
        <v>vis</v>
      </c>
      <c r="E27" s="40">
        <f>VLOOKUP(C27,Active!C$21:E$973,3,FALSE)</f>
        <v>310.99638917842549</v>
      </c>
      <c r="F27" s="5" t="s">
        <v>61</v>
      </c>
      <c r="G27" s="12" t="str">
        <f t="shared" si="4"/>
        <v>34626.470</v>
      </c>
      <c r="H27" s="24">
        <f t="shared" si="5"/>
        <v>311</v>
      </c>
      <c r="I27" s="41" t="s">
        <v>87</v>
      </c>
      <c r="J27" s="42" t="s">
        <v>88</v>
      </c>
      <c r="K27" s="41">
        <v>311</v>
      </c>
      <c r="L27" s="41" t="s">
        <v>89</v>
      </c>
      <c r="M27" s="42" t="s">
        <v>67</v>
      </c>
      <c r="N27" s="42"/>
      <c r="O27" s="43" t="s">
        <v>68</v>
      </c>
      <c r="P27" s="43" t="s">
        <v>69</v>
      </c>
    </row>
    <row r="28" spans="1:16" ht="12.75" customHeight="1" thickBot="1" x14ac:dyDescent="0.25">
      <c r="A28" s="24" t="str">
        <f t="shared" si="0"/>
        <v> AHSB 6.1.60 </v>
      </c>
      <c r="B28" s="5" t="str">
        <f t="shared" si="1"/>
        <v>I</v>
      </c>
      <c r="C28" s="24">
        <f t="shared" si="2"/>
        <v>34980.43</v>
      </c>
      <c r="D28" s="12" t="str">
        <f t="shared" si="3"/>
        <v>vis</v>
      </c>
      <c r="E28" s="40">
        <f>VLOOKUP(C28,Active!C$21:E$973,3,FALSE)</f>
        <v>528.99570776118549</v>
      </c>
      <c r="F28" s="5" t="s">
        <v>61</v>
      </c>
      <c r="G28" s="12" t="str">
        <f t="shared" si="4"/>
        <v>34980.430</v>
      </c>
      <c r="H28" s="24">
        <f t="shared" si="5"/>
        <v>529</v>
      </c>
      <c r="I28" s="41" t="s">
        <v>90</v>
      </c>
      <c r="J28" s="42" t="s">
        <v>91</v>
      </c>
      <c r="K28" s="41">
        <v>529</v>
      </c>
      <c r="L28" s="41" t="s">
        <v>92</v>
      </c>
      <c r="M28" s="42" t="s">
        <v>67</v>
      </c>
      <c r="N28" s="42"/>
      <c r="O28" s="43" t="s">
        <v>68</v>
      </c>
      <c r="P28" s="43" t="s">
        <v>69</v>
      </c>
    </row>
    <row r="29" spans="1:16" ht="12.75" customHeight="1" thickBot="1" x14ac:dyDescent="0.25">
      <c r="A29" s="24" t="str">
        <f t="shared" si="0"/>
        <v> AHSB 6.1.60 </v>
      </c>
      <c r="B29" s="5" t="str">
        <f t="shared" si="1"/>
        <v>I</v>
      </c>
      <c r="C29" s="24">
        <f t="shared" si="2"/>
        <v>35019.39</v>
      </c>
      <c r="D29" s="12" t="str">
        <f t="shared" si="3"/>
        <v>vis</v>
      </c>
      <c r="E29" s="40">
        <f>VLOOKUP(C29,Active!C$21:E$973,3,FALSE)</f>
        <v>552.9906604450598</v>
      </c>
      <c r="F29" s="5" t="s">
        <v>61</v>
      </c>
      <c r="G29" s="12" t="str">
        <f t="shared" si="4"/>
        <v>35019.390</v>
      </c>
      <c r="H29" s="24">
        <f t="shared" si="5"/>
        <v>553</v>
      </c>
      <c r="I29" s="41" t="s">
        <v>93</v>
      </c>
      <c r="J29" s="42" t="s">
        <v>94</v>
      </c>
      <c r="K29" s="41">
        <v>553</v>
      </c>
      <c r="L29" s="41" t="s">
        <v>95</v>
      </c>
      <c r="M29" s="42" t="s">
        <v>67</v>
      </c>
      <c r="N29" s="42"/>
      <c r="O29" s="43" t="s">
        <v>68</v>
      </c>
      <c r="P29" s="43" t="s">
        <v>69</v>
      </c>
    </row>
    <row r="30" spans="1:16" ht="12.75" customHeight="1" thickBot="1" x14ac:dyDescent="0.25">
      <c r="A30" s="24" t="str">
        <f t="shared" si="0"/>
        <v> AHSB 6.1.60 </v>
      </c>
      <c r="B30" s="5" t="str">
        <f t="shared" si="1"/>
        <v>I</v>
      </c>
      <c r="C30" s="24">
        <f t="shared" si="2"/>
        <v>35303.550000000003</v>
      </c>
      <c r="D30" s="12" t="str">
        <f t="shared" si="3"/>
        <v>vis</v>
      </c>
      <c r="E30" s="40">
        <f>VLOOKUP(C30,Active!C$21:E$973,3,FALSE)</f>
        <v>728.00107509213285</v>
      </c>
      <c r="F30" s="5" t="s">
        <v>61</v>
      </c>
      <c r="G30" s="12" t="str">
        <f t="shared" si="4"/>
        <v>35303.550</v>
      </c>
      <c r="H30" s="24">
        <f t="shared" si="5"/>
        <v>728</v>
      </c>
      <c r="I30" s="41" t="s">
        <v>96</v>
      </c>
      <c r="J30" s="42" t="s">
        <v>97</v>
      </c>
      <c r="K30" s="41">
        <v>728</v>
      </c>
      <c r="L30" s="41" t="s">
        <v>98</v>
      </c>
      <c r="M30" s="42" t="s">
        <v>67</v>
      </c>
      <c r="N30" s="42"/>
      <c r="O30" s="43" t="s">
        <v>68</v>
      </c>
      <c r="P30" s="43" t="s">
        <v>69</v>
      </c>
    </row>
    <row r="31" spans="1:16" ht="12.75" customHeight="1" thickBot="1" x14ac:dyDescent="0.25">
      <c r="A31" s="24" t="str">
        <f t="shared" si="0"/>
        <v> AHSB 6.1.60 </v>
      </c>
      <c r="B31" s="5" t="str">
        <f t="shared" si="1"/>
        <v>I</v>
      </c>
      <c r="C31" s="24">
        <f t="shared" si="2"/>
        <v>35360.379999999997</v>
      </c>
      <c r="D31" s="12" t="str">
        <f t="shared" si="3"/>
        <v>vis</v>
      </c>
      <c r="E31" s="40">
        <f>VLOOKUP(C31,Active!C$21:E$973,3,FALSE)</f>
        <v>763.00192624779197</v>
      </c>
      <c r="F31" s="5" t="s">
        <v>61</v>
      </c>
      <c r="G31" s="12" t="str">
        <f t="shared" si="4"/>
        <v>35360.380</v>
      </c>
      <c r="H31" s="24">
        <f t="shared" si="5"/>
        <v>763</v>
      </c>
      <c r="I31" s="41" t="s">
        <v>99</v>
      </c>
      <c r="J31" s="42" t="s">
        <v>100</v>
      </c>
      <c r="K31" s="41">
        <v>763</v>
      </c>
      <c r="L31" s="41" t="s">
        <v>101</v>
      </c>
      <c r="M31" s="42" t="s">
        <v>67</v>
      </c>
      <c r="N31" s="42"/>
      <c r="O31" s="43" t="s">
        <v>68</v>
      </c>
      <c r="P31" s="43" t="s">
        <v>69</v>
      </c>
    </row>
    <row r="32" spans="1:16" ht="12.75" customHeight="1" thickBot="1" x14ac:dyDescent="0.25">
      <c r="A32" s="24" t="str">
        <f t="shared" si="0"/>
        <v> AHSB 6.1.60 </v>
      </c>
      <c r="B32" s="5" t="str">
        <f t="shared" si="1"/>
        <v>I</v>
      </c>
      <c r="C32" s="24">
        <f t="shared" si="2"/>
        <v>35373.368000000002</v>
      </c>
      <c r="D32" s="12" t="str">
        <f t="shared" si="3"/>
        <v>vis</v>
      </c>
      <c r="E32" s="40">
        <f>VLOOKUP(C32,Active!C$21:E$973,3,FALSE)</f>
        <v>771.00106499158767</v>
      </c>
      <c r="F32" s="5" t="s">
        <v>61</v>
      </c>
      <c r="G32" s="12" t="str">
        <f t="shared" si="4"/>
        <v>35373.368</v>
      </c>
      <c r="H32" s="24">
        <f t="shared" si="5"/>
        <v>771</v>
      </c>
      <c r="I32" s="41" t="s">
        <v>102</v>
      </c>
      <c r="J32" s="42" t="s">
        <v>103</v>
      </c>
      <c r="K32" s="41">
        <v>771</v>
      </c>
      <c r="L32" s="41" t="s">
        <v>98</v>
      </c>
      <c r="M32" s="42" t="s">
        <v>63</v>
      </c>
      <c r="N32" s="42"/>
      <c r="O32" s="43" t="s">
        <v>68</v>
      </c>
      <c r="P32" s="43" t="s">
        <v>69</v>
      </c>
    </row>
    <row r="33" spans="1:16" ht="12.75" customHeight="1" thickBot="1" x14ac:dyDescent="0.25">
      <c r="A33" s="24" t="str">
        <f t="shared" si="0"/>
        <v> HABZ 30 </v>
      </c>
      <c r="B33" s="5" t="str">
        <f t="shared" si="1"/>
        <v>I</v>
      </c>
      <c r="C33" s="24">
        <f t="shared" si="2"/>
        <v>36818.411</v>
      </c>
      <c r="D33" s="12" t="str">
        <f t="shared" si="3"/>
        <v>vis</v>
      </c>
      <c r="E33" s="40">
        <f>VLOOKUP(C33,Active!C$21:E$973,3,FALSE)</f>
        <v>1660.9840837586448</v>
      </c>
      <c r="F33" s="5" t="s">
        <v>61</v>
      </c>
      <c r="G33" s="12" t="str">
        <f t="shared" si="4"/>
        <v>36818.411</v>
      </c>
      <c r="H33" s="24">
        <f t="shared" si="5"/>
        <v>1661</v>
      </c>
      <c r="I33" s="41" t="s">
        <v>104</v>
      </c>
      <c r="J33" s="42" t="s">
        <v>105</v>
      </c>
      <c r="K33" s="41">
        <v>1661</v>
      </c>
      <c r="L33" s="41" t="s">
        <v>106</v>
      </c>
      <c r="M33" s="42" t="s">
        <v>67</v>
      </c>
      <c r="N33" s="42"/>
      <c r="O33" s="43" t="s">
        <v>107</v>
      </c>
      <c r="P33" s="43" t="s">
        <v>108</v>
      </c>
    </row>
    <row r="34" spans="1:16" ht="12.75" customHeight="1" thickBot="1" x14ac:dyDescent="0.25">
      <c r="A34" s="24" t="str">
        <f t="shared" si="0"/>
        <v> HABZ 30 </v>
      </c>
      <c r="B34" s="5" t="str">
        <f t="shared" si="1"/>
        <v>I</v>
      </c>
      <c r="C34" s="24">
        <f t="shared" si="2"/>
        <v>37190.326000000001</v>
      </c>
      <c r="D34" s="12" t="str">
        <f t="shared" si="3"/>
        <v>vis</v>
      </c>
      <c r="E34" s="40">
        <f>VLOOKUP(C34,Active!C$21:E$973,3,FALSE)</f>
        <v>1890.0416511976423</v>
      </c>
      <c r="F34" s="5" t="s">
        <v>61</v>
      </c>
      <c r="G34" s="12" t="str">
        <f t="shared" si="4"/>
        <v>37190.326</v>
      </c>
      <c r="H34" s="24">
        <f t="shared" si="5"/>
        <v>1890</v>
      </c>
      <c r="I34" s="41" t="s">
        <v>109</v>
      </c>
      <c r="J34" s="42" t="s">
        <v>110</v>
      </c>
      <c r="K34" s="41">
        <v>1890</v>
      </c>
      <c r="L34" s="41" t="s">
        <v>111</v>
      </c>
      <c r="M34" s="42" t="s">
        <v>67</v>
      </c>
      <c r="N34" s="42"/>
      <c r="O34" s="43" t="s">
        <v>107</v>
      </c>
      <c r="P34" s="43" t="s">
        <v>108</v>
      </c>
    </row>
    <row r="35" spans="1:16" ht="12.75" customHeight="1" thickBot="1" x14ac:dyDescent="0.25">
      <c r="A35" s="24" t="str">
        <f t="shared" si="0"/>
        <v> HABZ 30 </v>
      </c>
      <c r="B35" s="5" t="str">
        <f t="shared" si="1"/>
        <v>II</v>
      </c>
      <c r="C35" s="24">
        <f t="shared" si="2"/>
        <v>37194.326999999997</v>
      </c>
      <c r="D35" s="12" t="str">
        <f t="shared" si="3"/>
        <v>vis</v>
      </c>
      <c r="E35" s="40">
        <f>VLOOKUP(C35,Active!C$21:E$973,3,FALSE)</f>
        <v>1892.5058145879941</v>
      </c>
      <c r="F35" s="5" t="s">
        <v>61</v>
      </c>
      <c r="G35" s="12" t="str">
        <f t="shared" si="4"/>
        <v>37194.327</v>
      </c>
      <c r="H35" s="24">
        <f t="shared" si="5"/>
        <v>1892.5</v>
      </c>
      <c r="I35" s="41" t="s">
        <v>112</v>
      </c>
      <c r="J35" s="42" t="s">
        <v>113</v>
      </c>
      <c r="K35" s="41">
        <v>1892.5</v>
      </c>
      <c r="L35" s="41" t="s">
        <v>114</v>
      </c>
      <c r="M35" s="42" t="s">
        <v>67</v>
      </c>
      <c r="N35" s="42"/>
      <c r="O35" s="43" t="s">
        <v>107</v>
      </c>
      <c r="P35" s="43" t="s">
        <v>108</v>
      </c>
    </row>
    <row r="36" spans="1:16" ht="12.75" customHeight="1" thickBot="1" x14ac:dyDescent="0.25">
      <c r="A36" s="24" t="str">
        <f t="shared" si="0"/>
        <v> HABZ 30 </v>
      </c>
      <c r="B36" s="5" t="str">
        <f t="shared" si="1"/>
        <v>II</v>
      </c>
      <c r="C36" s="24">
        <f t="shared" si="2"/>
        <v>37582.379999999997</v>
      </c>
      <c r="D36" s="12" t="str">
        <f t="shared" si="3"/>
        <v>vis</v>
      </c>
      <c r="E36" s="40">
        <f>VLOOKUP(C36,Active!C$21:E$973,3,FALSE)</f>
        <v>2131.5025644297725</v>
      </c>
      <c r="F36" s="5" t="s">
        <v>61</v>
      </c>
      <c r="G36" s="12" t="str">
        <f t="shared" si="4"/>
        <v>37582.380</v>
      </c>
      <c r="H36" s="24">
        <f t="shared" si="5"/>
        <v>2131.5</v>
      </c>
      <c r="I36" s="41" t="s">
        <v>115</v>
      </c>
      <c r="J36" s="42" t="s">
        <v>116</v>
      </c>
      <c r="K36" s="41">
        <v>2131.5</v>
      </c>
      <c r="L36" s="41" t="s">
        <v>117</v>
      </c>
      <c r="M36" s="42" t="s">
        <v>67</v>
      </c>
      <c r="N36" s="42"/>
      <c r="O36" s="43" t="s">
        <v>107</v>
      </c>
      <c r="P36" s="43" t="s">
        <v>108</v>
      </c>
    </row>
    <row r="37" spans="1:16" ht="12.75" customHeight="1" thickBot="1" x14ac:dyDescent="0.25">
      <c r="A37" s="24" t="str">
        <f t="shared" si="0"/>
        <v> HABZ 30 </v>
      </c>
      <c r="B37" s="5" t="str">
        <f t="shared" si="1"/>
        <v>I</v>
      </c>
      <c r="C37" s="24">
        <f t="shared" si="2"/>
        <v>37927.377999999997</v>
      </c>
      <c r="D37" s="12" t="str">
        <f t="shared" si="3"/>
        <v>vis</v>
      </c>
      <c r="E37" s="40">
        <f>VLOOKUP(C37,Active!C$21:E$973,3,FALSE)</f>
        <v>2343.9823048309904</v>
      </c>
      <c r="F37" s="5" t="s">
        <v>61</v>
      </c>
      <c r="G37" s="12" t="str">
        <f t="shared" si="4"/>
        <v>37927.378</v>
      </c>
      <c r="H37" s="24">
        <f t="shared" si="5"/>
        <v>2344</v>
      </c>
      <c r="I37" s="41" t="s">
        <v>118</v>
      </c>
      <c r="J37" s="42" t="s">
        <v>119</v>
      </c>
      <c r="K37" s="41">
        <v>2344</v>
      </c>
      <c r="L37" s="41" t="s">
        <v>120</v>
      </c>
      <c r="M37" s="42" t="s">
        <v>67</v>
      </c>
      <c r="N37" s="42"/>
      <c r="O37" s="43" t="s">
        <v>107</v>
      </c>
      <c r="P37" s="43" t="s">
        <v>108</v>
      </c>
    </row>
    <row r="38" spans="1:16" ht="12.75" customHeight="1" thickBot="1" x14ac:dyDescent="0.25">
      <c r="A38" s="24" t="str">
        <f t="shared" si="0"/>
        <v> HABZ 30 </v>
      </c>
      <c r="B38" s="5" t="str">
        <f t="shared" si="1"/>
        <v>I</v>
      </c>
      <c r="C38" s="24">
        <f t="shared" si="2"/>
        <v>37940.394</v>
      </c>
      <c r="D38" s="12" t="str">
        <f t="shared" si="3"/>
        <v>vis</v>
      </c>
      <c r="E38" s="40">
        <f>VLOOKUP(C38,Active!C$21:E$973,3,FALSE)</f>
        <v>2351.9986884073096</v>
      </c>
      <c r="F38" s="5" t="s">
        <v>61</v>
      </c>
      <c r="G38" s="12" t="str">
        <f t="shared" si="4"/>
        <v>37940.394</v>
      </c>
      <c r="H38" s="24">
        <f t="shared" si="5"/>
        <v>2352</v>
      </c>
      <c r="I38" s="41" t="s">
        <v>121</v>
      </c>
      <c r="J38" s="42" t="s">
        <v>122</v>
      </c>
      <c r="K38" s="41">
        <v>2352</v>
      </c>
      <c r="L38" s="41" t="s">
        <v>123</v>
      </c>
      <c r="M38" s="42" t="s">
        <v>67</v>
      </c>
      <c r="N38" s="42"/>
      <c r="O38" s="43" t="s">
        <v>107</v>
      </c>
      <c r="P38" s="43" t="s">
        <v>108</v>
      </c>
    </row>
    <row r="39" spans="1:16" ht="12.75" customHeight="1" thickBot="1" x14ac:dyDescent="0.25">
      <c r="A39" s="24" t="str">
        <f t="shared" si="0"/>
        <v> HABZ 30 </v>
      </c>
      <c r="B39" s="5" t="str">
        <f t="shared" si="1"/>
        <v>II</v>
      </c>
      <c r="C39" s="24">
        <f t="shared" si="2"/>
        <v>38233.487999999998</v>
      </c>
      <c r="D39" s="12" t="str">
        <f t="shared" si="3"/>
        <v>vis</v>
      </c>
      <c r="E39" s="40">
        <f>VLOOKUP(C39,Active!C$21:E$973,3,FALSE)</f>
        <v>2532.5114364033971</v>
      </c>
      <c r="F39" s="5" t="s">
        <v>61</v>
      </c>
      <c r="G39" s="12" t="str">
        <f t="shared" si="4"/>
        <v>38233.488</v>
      </c>
      <c r="H39" s="24">
        <f t="shared" si="5"/>
        <v>2532.5</v>
      </c>
      <c r="I39" s="41" t="s">
        <v>124</v>
      </c>
      <c r="J39" s="42" t="s">
        <v>125</v>
      </c>
      <c r="K39" s="41">
        <v>2532.5</v>
      </c>
      <c r="L39" s="41" t="s">
        <v>126</v>
      </c>
      <c r="M39" s="42" t="s">
        <v>67</v>
      </c>
      <c r="N39" s="42"/>
      <c r="O39" s="43" t="s">
        <v>107</v>
      </c>
      <c r="P39" s="43" t="s">
        <v>108</v>
      </c>
    </row>
    <row r="40" spans="1:16" ht="12.75" customHeight="1" thickBot="1" x14ac:dyDescent="0.25">
      <c r="A40" s="24" t="str">
        <f t="shared" si="0"/>
        <v> HABZ 30 </v>
      </c>
      <c r="B40" s="5" t="str">
        <f t="shared" si="1"/>
        <v>I</v>
      </c>
      <c r="C40" s="24">
        <f t="shared" si="2"/>
        <v>38255.379999999997</v>
      </c>
      <c r="D40" s="12" t="str">
        <f t="shared" si="3"/>
        <v>vis</v>
      </c>
      <c r="E40" s="40">
        <f>VLOOKUP(C40,Active!C$21:E$973,3,FALSE)</f>
        <v>2545.9944318899315</v>
      </c>
      <c r="F40" s="5" t="s">
        <v>61</v>
      </c>
      <c r="G40" s="12" t="str">
        <f t="shared" si="4"/>
        <v>38255.380</v>
      </c>
      <c r="H40" s="24">
        <f t="shared" si="5"/>
        <v>2546</v>
      </c>
      <c r="I40" s="41" t="s">
        <v>127</v>
      </c>
      <c r="J40" s="42" t="s">
        <v>128</v>
      </c>
      <c r="K40" s="41">
        <v>2546</v>
      </c>
      <c r="L40" s="41" t="s">
        <v>129</v>
      </c>
      <c r="M40" s="42" t="s">
        <v>67</v>
      </c>
      <c r="N40" s="42"/>
      <c r="O40" s="43" t="s">
        <v>107</v>
      </c>
      <c r="P40" s="43" t="s">
        <v>108</v>
      </c>
    </row>
    <row r="41" spans="1:16" ht="12.75" customHeight="1" thickBot="1" x14ac:dyDescent="0.25">
      <c r="A41" s="24" t="str">
        <f t="shared" si="0"/>
        <v> HABZ 30 </v>
      </c>
      <c r="B41" s="5" t="str">
        <f t="shared" si="1"/>
        <v>I</v>
      </c>
      <c r="C41" s="24">
        <f t="shared" si="2"/>
        <v>38372.256999999998</v>
      </c>
      <c r="D41" s="12" t="str">
        <f t="shared" si="3"/>
        <v>vis</v>
      </c>
      <c r="E41" s="40">
        <f>VLOOKUP(C41,Active!C$21:E$973,3,FALSE)</f>
        <v>2617.9774422809287</v>
      </c>
      <c r="F41" s="5" t="s">
        <v>61</v>
      </c>
      <c r="G41" s="12" t="str">
        <f t="shared" si="4"/>
        <v>38372.257</v>
      </c>
      <c r="H41" s="24">
        <f t="shared" si="5"/>
        <v>2618</v>
      </c>
      <c r="I41" s="41" t="s">
        <v>130</v>
      </c>
      <c r="J41" s="42" t="s">
        <v>131</v>
      </c>
      <c r="K41" s="41">
        <v>2618</v>
      </c>
      <c r="L41" s="41" t="s">
        <v>66</v>
      </c>
      <c r="M41" s="42" t="s">
        <v>67</v>
      </c>
      <c r="N41" s="42"/>
      <c r="O41" s="43" t="s">
        <v>107</v>
      </c>
      <c r="P41" s="43" t="s">
        <v>108</v>
      </c>
    </row>
    <row r="42" spans="1:16" ht="12.75" customHeight="1" thickBot="1" x14ac:dyDescent="0.25">
      <c r="A42" s="24" t="str">
        <f t="shared" si="0"/>
        <v>BAVM 56 </v>
      </c>
      <c r="B42" s="5" t="str">
        <f t="shared" si="1"/>
        <v>I</v>
      </c>
      <c r="C42" s="24">
        <f t="shared" si="2"/>
        <v>47763.57</v>
      </c>
      <c r="D42" s="12" t="str">
        <f t="shared" si="3"/>
        <v>vis</v>
      </c>
      <c r="E42" s="40">
        <f>VLOOKUP(C42,Active!C$21:E$973,3,FALSE)</f>
        <v>8401.9638661633471</v>
      </c>
      <c r="F42" s="5" t="s">
        <v>61</v>
      </c>
      <c r="G42" s="12" t="str">
        <f t="shared" si="4"/>
        <v>47763.570</v>
      </c>
      <c r="H42" s="24">
        <f t="shared" si="5"/>
        <v>8402</v>
      </c>
      <c r="I42" s="41" t="s">
        <v>132</v>
      </c>
      <c r="J42" s="42" t="s">
        <v>133</v>
      </c>
      <c r="K42" s="41">
        <v>8402</v>
      </c>
      <c r="L42" s="41" t="s">
        <v>134</v>
      </c>
      <c r="M42" s="42" t="s">
        <v>63</v>
      </c>
      <c r="N42" s="42"/>
      <c r="O42" s="43" t="s">
        <v>135</v>
      </c>
      <c r="P42" s="44" t="s">
        <v>136</v>
      </c>
    </row>
    <row r="43" spans="1:16" ht="12.75" customHeight="1" thickBot="1" x14ac:dyDescent="0.25">
      <c r="A43" s="24" t="str">
        <f t="shared" si="0"/>
        <v>BAVM 193 </v>
      </c>
      <c r="B43" s="5" t="str">
        <f t="shared" si="1"/>
        <v>I</v>
      </c>
      <c r="C43" s="24">
        <f t="shared" si="2"/>
        <v>54339.427199999998</v>
      </c>
      <c r="D43" s="12" t="str">
        <f t="shared" si="3"/>
        <v>vis</v>
      </c>
      <c r="E43" s="40">
        <f>VLOOKUP(C43,Active!C$21:E$973,3,FALSE)</f>
        <v>12451.948013235162</v>
      </c>
      <c r="F43" s="5" t="s">
        <v>61</v>
      </c>
      <c r="G43" s="12" t="str">
        <f t="shared" si="4"/>
        <v>54339.4272</v>
      </c>
      <c r="H43" s="24">
        <f t="shared" si="5"/>
        <v>12452</v>
      </c>
      <c r="I43" s="41" t="s">
        <v>168</v>
      </c>
      <c r="J43" s="42" t="s">
        <v>169</v>
      </c>
      <c r="K43" s="41" t="s">
        <v>163</v>
      </c>
      <c r="L43" s="41" t="s">
        <v>170</v>
      </c>
      <c r="M43" s="42" t="s">
        <v>154</v>
      </c>
      <c r="N43" s="42" t="s">
        <v>160</v>
      </c>
      <c r="O43" s="43" t="s">
        <v>171</v>
      </c>
      <c r="P43" s="44" t="s">
        <v>172</v>
      </c>
    </row>
    <row r="44" spans="1:16" ht="12.75" customHeight="1" thickBot="1" x14ac:dyDescent="0.25">
      <c r="A44" s="24" t="str">
        <f t="shared" si="0"/>
        <v>BAVM 193 </v>
      </c>
      <c r="B44" s="5" t="str">
        <f t="shared" si="1"/>
        <v>I</v>
      </c>
      <c r="C44" s="24">
        <f t="shared" si="2"/>
        <v>54365.405700000003</v>
      </c>
      <c r="D44" s="12" t="str">
        <f t="shared" si="3"/>
        <v>vis</v>
      </c>
      <c r="E44" s="40">
        <f>VLOOKUP(C44,Active!C$21:E$973,3,FALSE)</f>
        <v>12467.94783043994</v>
      </c>
      <c r="F44" s="5" t="s">
        <v>61</v>
      </c>
      <c r="G44" s="12" t="str">
        <f t="shared" si="4"/>
        <v>54365.4057</v>
      </c>
      <c r="H44" s="24">
        <f t="shared" si="5"/>
        <v>12468</v>
      </c>
      <c r="I44" s="41" t="s">
        <v>173</v>
      </c>
      <c r="J44" s="42" t="s">
        <v>174</v>
      </c>
      <c r="K44" s="41" t="s">
        <v>175</v>
      </c>
      <c r="L44" s="41" t="s">
        <v>176</v>
      </c>
      <c r="M44" s="42" t="s">
        <v>154</v>
      </c>
      <c r="N44" s="42" t="s">
        <v>160</v>
      </c>
      <c r="O44" s="43" t="s">
        <v>171</v>
      </c>
      <c r="P44" s="44" t="s">
        <v>172</v>
      </c>
    </row>
    <row r="45" spans="1:16" ht="12.75" customHeight="1" thickBot="1" x14ac:dyDescent="0.25">
      <c r="A45" s="24" t="str">
        <f t="shared" si="0"/>
        <v>BAVM 203 </v>
      </c>
      <c r="B45" s="5" t="str">
        <f t="shared" si="1"/>
        <v>I</v>
      </c>
      <c r="C45" s="24">
        <f t="shared" si="2"/>
        <v>54649.547899999998</v>
      </c>
      <c r="D45" s="12" t="str">
        <f t="shared" si="3"/>
        <v>vis</v>
      </c>
      <c r="E45" s="40">
        <f>VLOOKUP(C45,Active!C$21:E$973,3,FALSE)</f>
        <v>12642.947282300616</v>
      </c>
      <c r="F45" s="5" t="s">
        <v>61</v>
      </c>
      <c r="G45" s="12" t="str">
        <f t="shared" si="4"/>
        <v>54649.5479</v>
      </c>
      <c r="H45" s="24">
        <f t="shared" si="5"/>
        <v>12643</v>
      </c>
      <c r="I45" s="41" t="s">
        <v>177</v>
      </c>
      <c r="J45" s="42" t="s">
        <v>178</v>
      </c>
      <c r="K45" s="41" t="s">
        <v>179</v>
      </c>
      <c r="L45" s="41" t="s">
        <v>180</v>
      </c>
      <c r="M45" s="42" t="s">
        <v>154</v>
      </c>
      <c r="N45" s="42" t="s">
        <v>160</v>
      </c>
      <c r="O45" s="43" t="s">
        <v>135</v>
      </c>
      <c r="P45" s="44" t="s">
        <v>181</v>
      </c>
    </row>
    <row r="46" spans="1:16" ht="12.75" customHeight="1" thickBot="1" x14ac:dyDescent="0.25">
      <c r="A46" s="24" t="str">
        <f t="shared" si="0"/>
        <v>BAVM 203 </v>
      </c>
      <c r="B46" s="5" t="str">
        <f t="shared" si="1"/>
        <v>II</v>
      </c>
      <c r="C46" s="24">
        <f t="shared" si="2"/>
        <v>54697.446300000003</v>
      </c>
      <c r="D46" s="12" t="str">
        <f t="shared" si="3"/>
        <v>vis</v>
      </c>
      <c r="E46" s="40">
        <f>VLOOKUP(C46,Active!C$21:E$973,3,FALSE)</f>
        <v>12672.447278235766</v>
      </c>
      <c r="F46" s="5" t="s">
        <v>61</v>
      </c>
      <c r="G46" s="12" t="str">
        <f t="shared" si="4"/>
        <v>54697.4463</v>
      </c>
      <c r="H46" s="24">
        <f t="shared" si="5"/>
        <v>12672.5</v>
      </c>
      <c r="I46" s="41" t="s">
        <v>182</v>
      </c>
      <c r="J46" s="42" t="s">
        <v>183</v>
      </c>
      <c r="K46" s="41" t="s">
        <v>184</v>
      </c>
      <c r="L46" s="41" t="s">
        <v>180</v>
      </c>
      <c r="M46" s="42" t="s">
        <v>154</v>
      </c>
      <c r="N46" s="42" t="s">
        <v>160</v>
      </c>
      <c r="O46" s="43" t="s">
        <v>171</v>
      </c>
      <c r="P46" s="44" t="s">
        <v>181</v>
      </c>
    </row>
    <row r="47" spans="1:16" ht="12.75" customHeight="1" thickBot="1" x14ac:dyDescent="0.25">
      <c r="A47" s="24" t="str">
        <f t="shared" si="0"/>
        <v>BAVM 214 </v>
      </c>
      <c r="B47" s="5" t="str">
        <f t="shared" si="1"/>
        <v>I</v>
      </c>
      <c r="C47" s="24">
        <f t="shared" si="2"/>
        <v>55125.2817</v>
      </c>
      <c r="D47" s="12" t="str">
        <f t="shared" si="3"/>
        <v>vis</v>
      </c>
      <c r="E47" s="40">
        <f>VLOOKUP(C47,Active!C$21:E$973,3,FALSE)</f>
        <v>12935.945486128134</v>
      </c>
      <c r="F47" s="5" t="s">
        <v>61</v>
      </c>
      <c r="G47" s="12" t="str">
        <f t="shared" si="4"/>
        <v>55125.2817</v>
      </c>
      <c r="H47" s="24">
        <f t="shared" si="5"/>
        <v>12936</v>
      </c>
      <c r="I47" s="41" t="s">
        <v>185</v>
      </c>
      <c r="J47" s="42" t="s">
        <v>186</v>
      </c>
      <c r="K47" s="41" t="s">
        <v>187</v>
      </c>
      <c r="L47" s="41" t="s">
        <v>188</v>
      </c>
      <c r="M47" s="42" t="s">
        <v>154</v>
      </c>
      <c r="N47" s="42" t="s">
        <v>160</v>
      </c>
      <c r="O47" s="43" t="s">
        <v>189</v>
      </c>
      <c r="P47" s="44" t="s">
        <v>190</v>
      </c>
    </row>
    <row r="48" spans="1:16" ht="12.75" customHeight="1" thickBot="1" x14ac:dyDescent="0.25">
      <c r="A48" s="24" t="str">
        <f t="shared" si="0"/>
        <v>BAVM 220 </v>
      </c>
      <c r="B48" s="5" t="str">
        <f t="shared" si="1"/>
        <v>II</v>
      </c>
      <c r="C48" s="24">
        <f t="shared" si="2"/>
        <v>55741.462599999999</v>
      </c>
      <c r="D48" s="12" t="str">
        <f t="shared" si="3"/>
        <v>vis</v>
      </c>
      <c r="E48" s="40">
        <f>VLOOKUP(C48,Active!C$21:E$973,3,FALSE)</f>
        <v>13315.443215599576</v>
      </c>
      <c r="F48" s="5" t="s">
        <v>61</v>
      </c>
      <c r="G48" s="12" t="str">
        <f t="shared" si="4"/>
        <v>55741.4626</v>
      </c>
      <c r="H48" s="24">
        <f t="shared" si="5"/>
        <v>13315.5</v>
      </c>
      <c r="I48" s="41" t="s">
        <v>196</v>
      </c>
      <c r="J48" s="42" t="s">
        <v>197</v>
      </c>
      <c r="K48" s="41" t="s">
        <v>198</v>
      </c>
      <c r="L48" s="41" t="s">
        <v>199</v>
      </c>
      <c r="M48" s="42" t="s">
        <v>154</v>
      </c>
      <c r="N48" s="42" t="s">
        <v>160</v>
      </c>
      <c r="O48" s="43" t="s">
        <v>171</v>
      </c>
      <c r="P48" s="44" t="s">
        <v>200</v>
      </c>
    </row>
    <row r="49" spans="1:16" ht="12.75" customHeight="1" thickBot="1" x14ac:dyDescent="0.25">
      <c r="A49" s="24" t="str">
        <f t="shared" si="0"/>
        <v>VSB 53 </v>
      </c>
      <c r="B49" s="5" t="str">
        <f t="shared" si="1"/>
        <v>I</v>
      </c>
      <c r="C49" s="24">
        <f t="shared" si="2"/>
        <v>55760.135300000002</v>
      </c>
      <c r="D49" s="12" t="str">
        <f t="shared" si="3"/>
        <v>vis</v>
      </c>
      <c r="E49" s="40">
        <f>VLOOKUP(C49,Active!C$21:E$973,3,FALSE)</f>
        <v>13326.943486466625</v>
      </c>
      <c r="F49" s="5" t="s">
        <v>61</v>
      </c>
      <c r="G49" s="12" t="str">
        <f t="shared" si="4"/>
        <v>55760.1353</v>
      </c>
      <c r="H49" s="24">
        <f t="shared" si="5"/>
        <v>13327</v>
      </c>
      <c r="I49" s="41" t="s">
        <v>201</v>
      </c>
      <c r="J49" s="42" t="s">
        <v>202</v>
      </c>
      <c r="K49" s="41" t="s">
        <v>203</v>
      </c>
      <c r="L49" s="41" t="s">
        <v>204</v>
      </c>
      <c r="M49" s="42" t="s">
        <v>154</v>
      </c>
      <c r="N49" s="42" t="s">
        <v>205</v>
      </c>
      <c r="O49" s="43" t="s">
        <v>206</v>
      </c>
      <c r="P49" s="44" t="s">
        <v>207</v>
      </c>
    </row>
    <row r="50" spans="1:16" x14ac:dyDescent="0.2">
      <c r="B50" s="5"/>
      <c r="F50" s="5"/>
    </row>
    <row r="51" spans="1:16" x14ac:dyDescent="0.2">
      <c r="B51" s="5"/>
      <c r="F51" s="5"/>
    </row>
    <row r="52" spans="1:16" x14ac:dyDescent="0.2">
      <c r="B52" s="5"/>
      <c r="F52" s="5"/>
    </row>
    <row r="53" spans="1:16" x14ac:dyDescent="0.2">
      <c r="B53" s="5"/>
      <c r="F53" s="5"/>
    </row>
    <row r="54" spans="1:16" x14ac:dyDescent="0.2">
      <c r="B54" s="5"/>
      <c r="F54" s="5"/>
    </row>
    <row r="55" spans="1:16" x14ac:dyDescent="0.2">
      <c r="B55" s="5"/>
      <c r="F55" s="5"/>
    </row>
    <row r="56" spans="1:16" x14ac:dyDescent="0.2">
      <c r="B56" s="5"/>
      <c r="F56" s="5"/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</sheetData>
  <phoneticPr fontId="8" type="noConversion"/>
  <hyperlinks>
    <hyperlink ref="P42" r:id="rId1" display="http://www.bav-astro.de/sfs/BAVM_link.php?BAVMnr=56" xr:uid="{00000000-0004-0000-0100-000000000000}"/>
    <hyperlink ref="P15" r:id="rId2" display="http://www.bav-astro.de/sfs/BAVM_link.php?BAVMnr=183" xr:uid="{00000000-0004-0000-0100-000001000000}"/>
    <hyperlink ref="P16" r:id="rId3" display="http://www.bav-astro.de/sfs/BAVM_link.php?BAVMnr=183" xr:uid="{00000000-0004-0000-0100-000002000000}"/>
    <hyperlink ref="P17" r:id="rId4" display="http://var.astro.cz/oejv/issues/oejv0074.pdf" xr:uid="{00000000-0004-0000-0100-000003000000}"/>
    <hyperlink ref="P43" r:id="rId5" display="http://www.bav-astro.de/sfs/BAVM_link.php?BAVMnr=193" xr:uid="{00000000-0004-0000-0100-000004000000}"/>
    <hyperlink ref="P44" r:id="rId6" display="http://www.bav-astro.de/sfs/BAVM_link.php?BAVMnr=193" xr:uid="{00000000-0004-0000-0100-000005000000}"/>
    <hyperlink ref="P45" r:id="rId7" display="http://www.bav-astro.de/sfs/BAVM_link.php?BAVMnr=203" xr:uid="{00000000-0004-0000-0100-000006000000}"/>
    <hyperlink ref="P46" r:id="rId8" display="http://www.bav-astro.de/sfs/BAVM_link.php?BAVMnr=203" xr:uid="{00000000-0004-0000-0100-000007000000}"/>
    <hyperlink ref="P47" r:id="rId9" display="http://www.bav-astro.de/sfs/BAVM_link.php?BAVMnr=214" xr:uid="{00000000-0004-0000-0100-000008000000}"/>
    <hyperlink ref="P18" r:id="rId10" display="http://www.bav-astro.de/sfs/BAVM_link.php?BAVMnr=215" xr:uid="{00000000-0004-0000-0100-000009000000}"/>
    <hyperlink ref="P48" r:id="rId11" display="http://www.bav-astro.de/sfs/BAVM_link.php?BAVMnr=220" xr:uid="{00000000-0004-0000-0100-00000A000000}"/>
    <hyperlink ref="P49" r:id="rId12" display="http://vsolj.cetus-net.org/vsoljno53.pdf" xr:uid="{00000000-0004-0000-0100-00000B000000}"/>
    <hyperlink ref="P19" r:id="rId13" display="http://www.bav-astro.de/sfs/BAVM_link.php?BAVMnr=231" xr:uid="{00000000-0004-0000-0100-00000C000000}"/>
    <hyperlink ref="P11" r:id="rId14" display="http://www.bav-astro.de/sfs/BAVM_link.php?BAVMnr=241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2024-02-04T03:41:51Z</dcterms:modified>
</cp:coreProperties>
</file>