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FD8DEF3-1E2F-49E1-A248-019920E84A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26" i="1"/>
  <c r="F26" i="1"/>
  <c r="G26" i="1"/>
  <c r="J26" i="1"/>
  <c r="C8" i="1"/>
  <c r="E28" i="1"/>
  <c r="F28" i="1"/>
  <c r="G28" i="1"/>
  <c r="D9" i="1"/>
  <c r="C9" i="1"/>
  <c r="C21" i="1"/>
  <c r="E21" i="1"/>
  <c r="F21" i="1"/>
  <c r="E22" i="1"/>
  <c r="F22" i="1"/>
  <c r="G22" i="1"/>
  <c r="K22" i="1"/>
  <c r="E23" i="1"/>
  <c r="F23" i="1"/>
  <c r="G23" i="1"/>
  <c r="K23" i="1"/>
  <c r="E24" i="1"/>
  <c r="F24" i="1"/>
  <c r="G24" i="1"/>
  <c r="J24" i="1"/>
  <c r="E25" i="1"/>
  <c r="F25" i="1"/>
  <c r="G25" i="1"/>
  <c r="J25" i="1"/>
  <c r="E29" i="1"/>
  <c r="F29" i="1"/>
  <c r="G29" i="1"/>
  <c r="J29" i="1"/>
  <c r="E27" i="1"/>
  <c r="F27" i="1"/>
  <c r="G27" i="1"/>
  <c r="K27" i="1"/>
  <c r="I28" i="1"/>
  <c r="Q28" i="1"/>
  <c r="G16" i="2"/>
  <c r="C16" i="2"/>
  <c r="G19" i="2"/>
  <c r="C19" i="2"/>
  <c r="E19" i="2"/>
  <c r="G18" i="2"/>
  <c r="C18" i="2"/>
  <c r="G15" i="2"/>
  <c r="C15" i="2"/>
  <c r="G14" i="2"/>
  <c r="C14" i="2"/>
  <c r="E14" i="2"/>
  <c r="G13" i="2"/>
  <c r="C13" i="2"/>
  <c r="G17" i="2"/>
  <c r="C17" i="2"/>
  <c r="G12" i="2"/>
  <c r="C12" i="2"/>
  <c r="E12" i="2"/>
  <c r="G11" i="2"/>
  <c r="C11" i="2"/>
  <c r="H16" i="2"/>
  <c r="D16" i="2"/>
  <c r="B16" i="2"/>
  <c r="A16" i="2"/>
  <c r="H19" i="2"/>
  <c r="D19" i="2"/>
  <c r="B19" i="2"/>
  <c r="A19" i="2"/>
  <c r="H18" i="2"/>
  <c r="D18" i="2"/>
  <c r="B18" i="2"/>
  <c r="A18" i="2"/>
  <c r="H15" i="2"/>
  <c r="D15" i="2"/>
  <c r="B15" i="2"/>
  <c r="A15" i="2"/>
  <c r="H14" i="2"/>
  <c r="D14" i="2"/>
  <c r="B14" i="2"/>
  <c r="A14" i="2"/>
  <c r="H13" i="2"/>
  <c r="D13" i="2"/>
  <c r="B13" i="2"/>
  <c r="A13" i="2"/>
  <c r="H17" i="2"/>
  <c r="D17" i="2"/>
  <c r="B17" i="2"/>
  <c r="A17" i="2"/>
  <c r="H12" i="2"/>
  <c r="D12" i="2"/>
  <c r="B12" i="2"/>
  <c r="A12" i="2"/>
  <c r="H11" i="2"/>
  <c r="D11" i="2"/>
  <c r="B11" i="2"/>
  <c r="A11" i="2"/>
  <c r="Q29" i="1"/>
  <c r="F16" i="1"/>
  <c r="Q27" i="1"/>
  <c r="Q24" i="1"/>
  <c r="Q25" i="1"/>
  <c r="Q26" i="1"/>
  <c r="Q23" i="1"/>
  <c r="Q22" i="1"/>
  <c r="E11" i="2"/>
  <c r="E16" i="2"/>
  <c r="E13" i="2"/>
  <c r="G21" i="1"/>
  <c r="H21" i="1"/>
  <c r="E17" i="2"/>
  <c r="E15" i="2"/>
  <c r="E18" i="2"/>
  <c r="Q21" i="1"/>
  <c r="C17" i="1"/>
  <c r="C12" i="1"/>
  <c r="C11" i="1"/>
  <c r="C15" i="1" l="1"/>
  <c r="F18" i="1" s="1"/>
  <c r="O25" i="1"/>
  <c r="O22" i="1"/>
  <c r="O29" i="1"/>
  <c r="O26" i="1"/>
  <c r="O23" i="1"/>
  <c r="O21" i="1"/>
  <c r="O27" i="1"/>
  <c r="O28" i="1"/>
  <c r="O24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<sst xmlns="http://schemas.openxmlformats.org/spreadsheetml/2006/main" count="157" uniqueCount="111">
  <si>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</si>
  <si>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</si>
  <si>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</si>
  <si>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</si>
  <si>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</si>
  <si>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</si>
  <si>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</si>
  <si>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</si>
  <si>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</si>
  <si>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</si>
  <si>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</si>
  <si>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</si>
  <si>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</si>
  <si>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</si>
  <si>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</si>
  <si>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</si>
  <si>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</si>
  <si>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</si>
  <si>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</si>
  <si>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</si>
  <si>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</si>
  <si>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</si>
  <si>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</si>
  <si>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</si>
  <si>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</si>
  <si>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</si>
  <si>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</si>
  <si>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</si>
  <si>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EA/SD</t>
  </si>
  <si>
    <t>IBVS 5287</t>
  </si>
  <si>
    <t>I</t>
  </si>
  <si>
    <t># of data points:</t>
  </si>
  <si>
    <t>V1019 Cyg / GSC 02670-01841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</si>
  <si>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</si>
  <si>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</si>
  <si>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</si>
  <si>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</si>
  <si>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</si>
  <si>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</si>
  <si>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</si>
  <si>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IBVS 5802</t>
  </si>
  <si>
    <t>Start of linear fit &gt;&gt;&gt;&gt;&gt;&gt;&gt;&gt;&gt;&gt;&gt;&gt;&gt;&gt;&gt;&gt;&gt;&gt;&gt;&gt;&gt;</t>
  </si>
  <si>
    <t>OEJV 0107</t>
  </si>
  <si>
    <t>IBVS 6070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</si>
  <si>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</si>
  <si>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</si>
  <si>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</si>
  <si>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</si>
  <si>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</si>
  <si>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</si>
  <si>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</si>
  <si>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</si>
  <si>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</si>
  <si>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</si>
  <si>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</si>
  <si>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</si>
  <si>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</si>
  <si>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2451781.4849 </t>
  </si>
  <si>
    <t> 24.08.2000 23:38 </t>
  </si>
  <si>
    <t> 0.0923 </t>
  </si>
  <si>
    <t>E </t>
  </si>
  <si>
    <t>?</t>
  </si>
  <si>
    <t> M.Zejda </t>
  </si>
  <si>
    <t>IBVS 5287 </t>
  </si>
  <si>
    <t>2452547.3472 </t>
  </si>
  <si>
    <t> 29.09.2002 20:19 </t>
  </si>
  <si>
    <t> 0.1056 </t>
  </si>
  <si>
    <t> R.Diethelm </t>
  </si>
  <si>
    <t> BBS 129 </t>
  </si>
  <si>
    <t>2453290.4086 </t>
  </si>
  <si>
    <t> 11.10.2004 21:48 </t>
  </si>
  <si>
    <t> 0.1111 </t>
  </si>
  <si>
    <t> M. Zejda et al. </t>
  </si>
  <si>
    <t>IBVS 5741 </t>
  </si>
  <si>
    <t>2453935.4484 </t>
  </si>
  <si>
    <t> 18.07.2006 22:45 </t>
  </si>
  <si>
    <t> 0.1055 </t>
  </si>
  <si>
    <t>C </t>
  </si>
  <si>
    <t>-I</t>
  </si>
  <si>
    <t> F. Agerer </t>
  </si>
  <si>
    <t>BAVM 183 </t>
  </si>
  <si>
    <t>2453992.4382 </t>
  </si>
  <si>
    <t> 13.09.2006 22:31 </t>
  </si>
  <si>
    <t>8972</t>
  </si>
  <si>
    <t> 0.1125 </t>
  </si>
  <si>
    <t>2454024.3730 </t>
  </si>
  <si>
    <t> 15.10.2006 20:57 </t>
  </si>
  <si>
    <t>8986</t>
  </si>
  <si>
    <t> 0.1369 </t>
  </si>
  <si>
    <t> P.Frank </t>
  </si>
  <si>
    <t>BAVM 186 </t>
  </si>
  <si>
    <t>2454327.4976 </t>
  </si>
  <si>
    <t> 14.08.2007 23:56 </t>
  </si>
  <si>
    <t>9119</t>
  </si>
  <si>
    <t> 0.1129 </t>
  </si>
  <si>
    <t>R</t>
  </si>
  <si>
    <t> M.Lehky </t>
  </si>
  <si>
    <t>OEJV 0107 </t>
  </si>
  <si>
    <t>2455690.5400 </t>
  </si>
  <si>
    <t> 09.05.2011 00:57 </t>
  </si>
  <si>
    <t>9717</t>
  </si>
  <si>
    <t> 0.1264 </t>
  </si>
  <si>
    <t> F.Agerer </t>
  </si>
  <si>
    <t>BAVM 220 </t>
  </si>
  <si>
    <t>2456203.3913 </t>
  </si>
  <si>
    <t> 02.10.2012 21:23 </t>
  </si>
  <si>
    <t>9942</t>
  </si>
  <si>
    <t> 0.1324 </t>
  </si>
  <si>
    <t>BAVM 231 </t>
  </si>
  <si>
    <t>BAD?</t>
  </si>
  <si>
    <t>vis/CCD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</si>
</sst>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V1019 Cyg - O-C Diagr.</a:t>
            </a:r>
          </a:p>
        </c:rich>
      </c:tx>
      <c:layout>
        <c:manualLayout>
          <c:xMode val="edge"/>
          <c:yMode val="edge"/>
          <c:x val="0.3570278028655141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C6-47F1-8637-C06BC15BA7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0.12643749999551801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C6-47F1-8637-C06BC15BA7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3">
                  <c:v>0.10546250000334112</c:v>
                </c:pt>
                <c:pt idx="4">
                  <c:v>0.11244999999325955</c:v>
                </c:pt>
                <c:pt idx="5">
                  <c:v>0.13687499999650754</c:v>
                </c:pt>
                <c:pt idx="8">
                  <c:v>0.13242500000342261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C6-47F1-8637-C06BC15BA7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9.2274999995424878E-2</c:v>
                </c:pt>
                <c:pt idx="2">
                  <c:v>0.10557499999413267</c:v>
                </c:pt>
                <c:pt idx="6">
                  <c:v>0.11295249999966472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C6-47F1-8637-C06BC15BA7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C6-47F1-8637-C06BC15BA7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C6-47F1-8637-C06BC15BA7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C6-47F1-8637-C06BC15BA7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-5.3384284228981088E-2</c:v>
                </c:pt>
                <c:pt idx="1">
                  <c:v>9.6774932188726931E-2</c:v>
                </c:pt>
                <c:pt idx="2">
                  <c:v>0.10308004300056772</c:v>
                </c:pt>
                <c:pt idx="3">
                  <c:v>0.11450805634702912</c:v>
                </c:pt>
                <c:pt idx="4">
                  <c:v>0.11497718661576728</c:v>
                </c:pt>
                <c:pt idx="5">
                  <c:v>0.11523989956626063</c:v>
                </c:pt>
                <c:pt idx="6">
                  <c:v>0.11773567259594761</c:v>
                </c:pt>
                <c:pt idx="7">
                  <c:v>0.12895726862416423</c:v>
                </c:pt>
                <c:pt idx="8">
                  <c:v>0.1331794410428076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C6-47F1-8637-C06BC15BA76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C6-47F1-8637-C06BC15BA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357096"/>
        <c:axId val="1"/>
      </c:scatterChart>
      <c:valAx>
        <c:axId val="734357096"/>
        <c:scaling>
          <c:orientation val="minMax"/>
          <c:min val="7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6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357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8902259592347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V1019 Cyg - O-C Diagr.</a:t>
            </a:r>
          </a:p>
        </c:rich>
      </c:tx>
      <c:layout>
        <c:manualLayout>
          <c:xMode val="edge"/>
          <c:yMode val="edge"/>
          <c:x val="0.35645161290322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5-4BF7-A567-24DC2435EF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0.12643749999551801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95-4BF7-A567-24DC2435EF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3">
                  <c:v>0.10546250000334112</c:v>
                </c:pt>
                <c:pt idx="4">
                  <c:v>0.11244999999325955</c:v>
                </c:pt>
                <c:pt idx="5">
                  <c:v>0.13687499999650754</c:v>
                </c:pt>
                <c:pt idx="8">
                  <c:v>0.13242500000342261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95-4BF7-A567-24DC2435EF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9.2274999995424878E-2</c:v>
                </c:pt>
                <c:pt idx="2">
                  <c:v>0.10557499999413267</c:v>
                </c:pt>
                <c:pt idx="6">
                  <c:v>0.11295249999966472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95-4BF7-A567-24DC2435EF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95-4BF7-A567-24DC2435EF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95-4BF7-A567-24DC2435EF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9.4000000000000004E-3</c:v>
                  </c:pt>
                  <c:pt idx="2">
                    <c:v>1.1999999999999999E-3</c:v>
                  </c:pt>
                  <c:pt idx="3">
                    <c:v>4.4999999999999997E-3</c:v>
                  </c:pt>
                  <c:pt idx="4">
                    <c:v>8.0000000000000004E-4</c:v>
                  </c:pt>
                  <c:pt idx="5">
                    <c:v>6.7000000000000002E-3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6.1999999999999998E-3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95-4BF7-A567-24DC2435EF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-5.3384284228981088E-2</c:v>
                </c:pt>
                <c:pt idx="1">
                  <c:v>9.6774932188726931E-2</c:v>
                </c:pt>
                <c:pt idx="2">
                  <c:v>0.10308004300056772</c:v>
                </c:pt>
                <c:pt idx="3">
                  <c:v>0.11450805634702912</c:v>
                </c:pt>
                <c:pt idx="4">
                  <c:v>0.11497718661576728</c:v>
                </c:pt>
                <c:pt idx="5">
                  <c:v>0.11523989956626063</c:v>
                </c:pt>
                <c:pt idx="6">
                  <c:v>0.11773567259594761</c:v>
                </c:pt>
                <c:pt idx="7">
                  <c:v>0.12895726862416423</c:v>
                </c:pt>
                <c:pt idx="8">
                  <c:v>0.1331794410428076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95-4BF7-A567-24DC2435EFE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8002</c:v>
                </c:pt>
                <c:pt idx="2">
                  <c:v>8338</c:v>
                </c:pt>
                <c:pt idx="3">
                  <c:v>8947</c:v>
                </c:pt>
                <c:pt idx="4">
                  <c:v>8972</c:v>
                </c:pt>
                <c:pt idx="5">
                  <c:v>8986</c:v>
                </c:pt>
                <c:pt idx="6">
                  <c:v>9119</c:v>
                </c:pt>
                <c:pt idx="7">
                  <c:v>9717</c:v>
                </c:pt>
                <c:pt idx="8">
                  <c:v>9942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95-4BF7-A567-24DC2435E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054408"/>
        <c:axId val="1"/>
      </c:scatterChart>
      <c:valAx>
        <c:axId val="5410544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05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2073298764483702"/>
          <c:w val="0.7758064516129031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504825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2120D8EC-AC06-310C-3D71-BAD9C6EE2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0</xdr:rowOff>
    </xdr:from>
    <xdr:to>
      <xdr:col>27</xdr:col>
      <xdr:colOff>66675</xdr:colOff>
      <xdr:row>18</xdr:row>
      <xdr:rowOff>47625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50A28E3-4B53-60E1-95EC-9073C3C1D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bav-astro.de/sfs/BAVM_link.php?BAVMnr=183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741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www.bav-astro.de/sfs/BAVM_link.php?BAVMnr=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24</v>
      </c>
      <c r="B2" s="56" t="s">
        <v>28</v>
      </c>
    </row>
    <row r="4" spans="1:6" ht="14.25" thickTop="1" thickBot="1" x14ac:dyDescent="0.25">
      <c r="A4" s="7" t="s">
        <v>0</v>
      </c>
      <c r="C4" s="3">
        <v>33542.334000000003</v>
      </c>
      <c r="D4" s="4">
        <v>2.2793125000000001</v>
      </c>
    </row>
    <row r="5" spans="1:6" ht="13.5" thickTop="1" x14ac:dyDescent="0.2">
      <c r="A5" s="18" t="s">
        <v>34</v>
      </c>
      <c r="B5" s="56"/>
      <c r="C5" s="19">
        <v>-9.5</v>
      </c>
      <c r="D5" s="10" t="s">
        <v>35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33542.334000000003</v>
      </c>
    </row>
    <row r="8" spans="1:6" x14ac:dyDescent="0.2">
      <c r="A8" t="s">
        <v>3</v>
      </c>
      <c r="C8">
        <f>+D4</f>
        <v>2.2793125000000001</v>
      </c>
    </row>
    <row r="9" spans="1:6" x14ac:dyDescent="0.2">
      <c r="A9" s="33" t="s">
        <v>41</v>
      </c>
      <c r="B9" s="34">
        <v>22</v>
      </c>
      <c r="C9" s="31" t="str">
        <f>"F"&amp;B9</f>
        <v>F22</v>
      </c>
      <c r="D9" s="32" t="str">
        <f>"G"&amp;B9</f>
        <v>G22</v>
      </c>
    </row>
    <row r="10" spans="1:6" ht="13.5" thickBot="1" x14ac:dyDescent="0.25">
      <c r="A10" s="10"/>
      <c r="B10" s="56"/>
      <c r="C10" s="6" t="s">
        <v>20</v>
      </c>
      <c r="D10" s="6" t="s">
        <v>21</v>
      </c>
      <c r="E10" s="10"/>
    </row>
    <row r="11" spans="1:6" x14ac:dyDescent="0.2">
      <c r="A11" s="10" t="s">
        <v>16</v>
      </c>
      <c r="B11" s="56"/>
      <c r="C11" s="30">
        <f ca="1">INTERCEPT(INDIRECT($D$9):G990,INDIRECT($C$9):F990)</f>
        <v>-5.3384284228981088E-2</v>
      </c>
      <c r="D11" s="5"/>
      <c r="E11" s="10"/>
    </row>
    <row r="12" spans="1:6" x14ac:dyDescent="0.2">
      <c r="A12" s="10" t="s">
        <v>17</v>
      </c>
      <c r="B12" s="56"/>
      <c r="C12" s="30">
        <f ca="1">SLOPE(INDIRECT($D$9):G990,INDIRECT($C$9):F990)</f>
        <v>1.8765210749526121E-5</v>
      </c>
      <c r="D12" s="5"/>
      <c r="E12" s="10"/>
    </row>
    <row r="13" spans="1:6" x14ac:dyDescent="0.2">
      <c r="A13" s="10" t="s">
        <v>19</v>
      </c>
      <c r="B13" s="56"/>
      <c r="C13" s="5" t="s">
        <v>14</v>
      </c>
    </row>
    <row r="14" spans="1:6" x14ac:dyDescent="0.2">
      <c r="A14" s="10"/>
      <c r="B14" s="56"/>
      <c r="C14" s="10"/>
    </row>
    <row r="15" spans="1:6" x14ac:dyDescent="0.2">
      <c r="A15" s="20" t="s">
        <v>18</v>
      </c>
      <c r="B15" s="56"/>
      <c r="C15" s="21">
        <f ca="1">(C7+C11)+(C8+C12)*INT(MAX(F21:F3531))</f>
        <v>56203.39205444105</v>
      </c>
      <c r="E15" s="22" t="s">
        <v>44</v>
      </c>
      <c r="F15" s="19">
        <v>1</v>
      </c>
    </row>
    <row r="16" spans="1:6" x14ac:dyDescent="0.2">
      <c r="A16" s="24" t="s">
        <v>4</v>
      </c>
      <c r="B16" s="56"/>
      <c r="C16" s="25">
        <f ca="1">+C8+C12</f>
        <v>2.2793312652107498</v>
      </c>
      <c r="E16" s="22" t="s">
        <v>36</v>
      </c>
      <c r="F16" s="23">
        <f ca="1">NOW()+15018.5+$C$5/24</f>
        <v>60344.696266782405</v>
      </c>
    </row>
    <row r="17" spans="1:21" ht="13.5" thickBot="1" x14ac:dyDescent="0.25">
      <c r="A17" s="22" t="s">
        <v>31</v>
      </c>
      <c r="B17" s="56"/>
      <c r="C17" s="10">
        <f>COUNT(C21:C2189)</f>
        <v>9</v>
      </c>
      <c r="E17" s="22" t="s">
        <v>45</v>
      </c>
      <c r="F17" s="23">
        <f ca="1">ROUND(2*(F16-$C$7)/$C$8,0)/2+F15</f>
        <v>11760</v>
      </c>
    </row>
    <row r="18" spans="1:21" ht="14.25" thickTop="1" thickBot="1" x14ac:dyDescent="0.25">
      <c r="A18" s="24" t="s">
        <v>5</v>
      </c>
      <c r="B18" s="56"/>
      <c r="C18" s="27">
        <f ca="1">+C15</f>
        <v>56203.39205444105</v>
      </c>
      <c r="D18" s="28">
        <f ca="1">+C16</f>
        <v>2.2793312652107498</v>
      </c>
      <c r="E18" s="22" t="s">
        <v>37</v>
      </c>
      <c r="F18" s="32">
        <f ca="1">ROUND(2*(F16-$C$15)/$C$16,0)/2+F15</f>
        <v>1818</v>
      </c>
    </row>
    <row r="19" spans="1:21" ht="13.5" thickTop="1" x14ac:dyDescent="0.2">
      <c r="E19" s="22" t="s">
        <v>38</v>
      </c>
      <c r="F19" s="26">
        <f ca="1">+$C$15+$C$16*F18-15018.5-$C$5/24</f>
        <v>45329.112127927532</v>
      </c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53</v>
      </c>
      <c r="I20" s="9" t="s">
        <v>56</v>
      </c>
      <c r="J20" s="9" t="s">
        <v>50</v>
      </c>
      <c r="K20" s="9" t="s">
        <v>48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8" t="s">
        <v>109</v>
      </c>
    </row>
    <row r="21" spans="1:21" x14ac:dyDescent="0.2">
      <c r="A21" t="s">
        <v>12</v>
      </c>
      <c r="C21" s="16">
        <f>+C4</f>
        <v>33542.334000000003</v>
      </c>
      <c r="D21" s="16" t="s">
        <v>14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 s="38">
        <f>G21</f>
        <v>0</v>
      </c>
      <c r="O21">
        <f t="shared" ref="O21:O29" ca="1" si="3">+C$11+C$12*$F21</f>
        <v>-5.3384284228981088E-2</v>
      </c>
      <c r="Q21" s="2">
        <f t="shared" ref="Q21:Q29" si="4">+C21-15018.5</f>
        <v>18523.834000000003</v>
      </c>
    </row>
    <row r="22" spans="1:21" x14ac:dyDescent="0.2">
      <c r="A22" s="11" t="s">
        <v>29</v>
      </c>
      <c r="B22" s="12" t="s">
        <v>30</v>
      </c>
      <c r="C22" s="17">
        <v>51781.484900000003</v>
      </c>
      <c r="D22" s="17">
        <v>9.4000000000000004E-3</v>
      </c>
      <c r="E22">
        <f t="shared" si="0"/>
        <v>8002.0404836984835</v>
      </c>
      <c r="F22">
        <f t="shared" si="1"/>
        <v>8002</v>
      </c>
      <c r="G22">
        <f t="shared" si="2"/>
        <v>9.2274999995424878E-2</v>
      </c>
      <c r="K22">
        <f>+G22</f>
        <v>9.2274999995424878E-2</v>
      </c>
      <c r="O22">
        <f t="shared" ca="1" si="3"/>
        <v>9.6774932188726931E-2</v>
      </c>
      <c r="Q22" s="2">
        <f t="shared" si="4"/>
        <v>36762.984900000003</v>
      </c>
      <c r="R22" t="s">
        <v>48</v>
      </c>
    </row>
    <row r="23" spans="1:21" x14ac:dyDescent="0.2">
      <c r="A23" s="13" t="s">
        <v>33</v>
      </c>
      <c r="B23" s="14" t="s">
        <v>30</v>
      </c>
      <c r="C23" s="15">
        <v>52547.347199999997</v>
      </c>
      <c r="D23" s="15">
        <v>1.1999999999999999E-3</v>
      </c>
      <c r="E23">
        <f t="shared" si="0"/>
        <v>8338.0463187912992</v>
      </c>
      <c r="F23">
        <f t="shared" si="1"/>
        <v>8338</v>
      </c>
      <c r="G23">
        <f t="shared" si="2"/>
        <v>0.10557499999413267</v>
      </c>
      <c r="K23">
        <f>+G23</f>
        <v>0.10557499999413267</v>
      </c>
      <c r="O23">
        <f t="shared" ca="1" si="3"/>
        <v>0.10308004300056772</v>
      </c>
      <c r="Q23" s="2">
        <f t="shared" si="4"/>
        <v>37528.847199999997</v>
      </c>
      <c r="R23" t="s">
        <v>110</v>
      </c>
    </row>
    <row r="24" spans="1:21" x14ac:dyDescent="0.2">
      <c r="A24" s="13" t="s">
        <v>39</v>
      </c>
      <c r="B24" s="29" t="s">
        <v>30</v>
      </c>
      <c r="C24" s="16">
        <v>53935.448400000001</v>
      </c>
      <c r="D24" s="16">
        <v>4.4999999999999997E-3</v>
      </c>
      <c r="E24">
        <f t="shared" si="0"/>
        <v>8947.0462694343132</v>
      </c>
      <c r="F24">
        <f t="shared" si="1"/>
        <v>8947</v>
      </c>
      <c r="G24">
        <f t="shared" si="2"/>
        <v>0.10546250000334112</v>
      </c>
      <c r="J24">
        <f>+G24</f>
        <v>0.10546250000334112</v>
      </c>
      <c r="O24">
        <f t="shared" ca="1" si="3"/>
        <v>0.11450805634702912</v>
      </c>
      <c r="Q24" s="2">
        <f t="shared" si="4"/>
        <v>38916.948400000001</v>
      </c>
      <c r="R24" t="s">
        <v>50</v>
      </c>
    </row>
    <row r="25" spans="1:21" x14ac:dyDescent="0.2">
      <c r="A25" s="13" t="s">
        <v>39</v>
      </c>
      <c r="B25" s="29" t="s">
        <v>30</v>
      </c>
      <c r="C25" s="16">
        <v>53992.438199999997</v>
      </c>
      <c r="D25" s="16">
        <v>8.0000000000000004E-4</v>
      </c>
      <c r="E25">
        <f t="shared" si="0"/>
        <v>8972.0493350516845</v>
      </c>
      <c r="F25">
        <f t="shared" si="1"/>
        <v>8972</v>
      </c>
      <c r="G25">
        <f t="shared" si="2"/>
        <v>0.11244999999325955</v>
      </c>
      <c r="J25">
        <f>+G25</f>
        <v>0.11244999999325955</v>
      </c>
      <c r="O25">
        <f t="shared" ca="1" si="3"/>
        <v>0.11497718661576728</v>
      </c>
      <c r="Q25" s="2">
        <f t="shared" si="4"/>
        <v>38973.938199999997</v>
      </c>
      <c r="R25" t="s">
        <v>50</v>
      </c>
    </row>
    <row r="26" spans="1:21" x14ac:dyDescent="0.2">
      <c r="A26" s="15" t="s">
        <v>40</v>
      </c>
      <c r="B26" s="29"/>
      <c r="C26" s="16">
        <v>54024.373</v>
      </c>
      <c r="D26" s="16">
        <v>6.7000000000000002E-3</v>
      </c>
      <c r="E26">
        <f t="shared" si="0"/>
        <v>8986.0600510022196</v>
      </c>
      <c r="F26">
        <f t="shared" si="1"/>
        <v>8986</v>
      </c>
      <c r="G26">
        <f t="shared" si="2"/>
        <v>0.13687499999650754</v>
      </c>
      <c r="J26">
        <f>+G26</f>
        <v>0.13687499999650754</v>
      </c>
      <c r="O26">
        <f t="shared" ca="1" si="3"/>
        <v>0.11523989956626063</v>
      </c>
      <c r="Q26" s="2">
        <f t="shared" si="4"/>
        <v>39005.873</v>
      </c>
      <c r="R26" t="s">
        <v>50</v>
      </c>
    </row>
    <row r="27" spans="1:21" x14ac:dyDescent="0.2">
      <c r="A27" s="39" t="s">
        <v>42</v>
      </c>
      <c r="B27" s="40" t="s">
        <v>30</v>
      </c>
      <c r="C27" s="41">
        <v>54327.497640000001</v>
      </c>
      <c r="D27" s="41">
        <v>2.0000000000000001E-4</v>
      </c>
      <c r="E27">
        <f t="shared" si="0"/>
        <v>9119.0495555129</v>
      </c>
      <c r="F27">
        <f t="shared" si="1"/>
        <v>9119</v>
      </c>
      <c r="G27">
        <f t="shared" si="2"/>
        <v>0.11295249999966472</v>
      </c>
      <c r="K27">
        <f>+G27</f>
        <v>0.11295249999966472</v>
      </c>
      <c r="O27">
        <f t="shared" ca="1" si="3"/>
        <v>0.11773567259594761</v>
      </c>
      <c r="Q27" s="2">
        <f t="shared" si="4"/>
        <v>39308.997640000001</v>
      </c>
      <c r="R27" t="s">
        <v>48</v>
      </c>
    </row>
    <row r="28" spans="1:21" x14ac:dyDescent="0.2">
      <c r="A28" s="55" t="s">
        <v>103</v>
      </c>
      <c r="B28" s="57" t="s">
        <v>30</v>
      </c>
      <c r="C28" s="55">
        <v>55690.54</v>
      </c>
      <c r="D28" s="55" t="s">
        <v>56</v>
      </c>
      <c r="E28">
        <f t="shared" si="0"/>
        <v>9717.0554717705436</v>
      </c>
      <c r="F28">
        <f t="shared" si="1"/>
        <v>9717</v>
      </c>
      <c r="G28">
        <f t="shared" si="2"/>
        <v>0.12643749999551801</v>
      </c>
      <c r="I28">
        <f>+G28</f>
        <v>0.12643749999551801</v>
      </c>
      <c r="O28">
        <f t="shared" ca="1" si="3"/>
        <v>0.12895726862416423</v>
      </c>
      <c r="Q28" s="2">
        <f t="shared" si="4"/>
        <v>40672.04</v>
      </c>
    </row>
    <row r="29" spans="1:21" x14ac:dyDescent="0.2">
      <c r="A29" s="35" t="s">
        <v>43</v>
      </c>
      <c r="B29" s="36" t="s">
        <v>30</v>
      </c>
      <c r="C29" s="37">
        <v>56203.391300000003</v>
      </c>
      <c r="D29" s="37">
        <v>6.1999999999999998E-3</v>
      </c>
      <c r="E29">
        <f t="shared" si="0"/>
        <v>9942.0580986591358</v>
      </c>
      <c r="F29">
        <f t="shared" si="1"/>
        <v>9942</v>
      </c>
      <c r="G29">
        <f t="shared" si="2"/>
        <v>0.13242500000342261</v>
      </c>
      <c r="J29">
        <f>+G29</f>
        <v>0.13242500000342261</v>
      </c>
      <c r="O29">
        <f t="shared" ca="1" si="3"/>
        <v>0.1331794410428076</v>
      </c>
      <c r="Q29" s="2">
        <f t="shared" si="4"/>
        <v>41184.891300000003</v>
      </c>
      <c r="R29" t="s">
        <v>50</v>
      </c>
    </row>
    <row r="30" spans="1:21" x14ac:dyDescent="0.2">
      <c r="C30" s="16"/>
      <c r="D30" s="16"/>
      <c r="Q30" s="2"/>
    </row>
    <row r="31" spans="1:21" x14ac:dyDescent="0.2">
      <c r="C31" s="16"/>
      <c r="D31" s="16"/>
      <c r="Q31" s="2"/>
    </row>
    <row r="32" spans="1:21" x14ac:dyDescent="0.2">
      <c r="C32" s="16"/>
      <c r="D32" s="16"/>
    </row>
    <row r="33" spans="3:4" x14ac:dyDescent="0.2">
      <c r="C33" s="16"/>
      <c r="D33" s="16"/>
    </row>
    <row r="34" spans="3:4" x14ac:dyDescent="0.2">
      <c r="C34" s="16"/>
      <c r="D34" s="16"/>
    </row>
    <row r="35" spans="3:4" x14ac:dyDescent="0.2">
      <c r="C35" s="16"/>
      <c r="D35" s="16"/>
    </row>
    <row r="36" spans="3:4" x14ac:dyDescent="0.2">
      <c r="C36" s="16"/>
      <c r="D36" s="16"/>
    </row>
    <row r="37" spans="3:4" x14ac:dyDescent="0.2">
      <c r="C37" s="16"/>
      <c r="D37" s="16"/>
    </row>
    <row r="38" spans="3:4" x14ac:dyDescent="0.2">
      <c r="C38" s="16"/>
      <c r="D38" s="16"/>
    </row>
    <row r="39" spans="3:4" x14ac:dyDescent="0.2">
      <c r="C39" s="16"/>
      <c r="D39" s="16"/>
    </row>
    <row r="40" spans="3:4" x14ac:dyDescent="0.2">
      <c r="C40" s="16"/>
      <c r="D40" s="16"/>
    </row>
    <row r="41" spans="3:4" x14ac:dyDescent="0.2">
      <c r="C41" s="16"/>
      <c r="D41" s="16"/>
    </row>
    <row r="42" spans="3:4" x14ac:dyDescent="0.2">
      <c r="C42" s="16"/>
      <c r="D42" s="16"/>
    </row>
    <row r="43" spans="3:4" x14ac:dyDescent="0.2">
      <c r="C43" s="16"/>
      <c r="D43" s="16"/>
    </row>
    <row r="44" spans="3:4" x14ac:dyDescent="0.2">
      <c r="C44" s="16"/>
      <c r="D44" s="16"/>
    </row>
    <row r="45" spans="3:4" x14ac:dyDescent="0.2">
      <c r="C45" s="16"/>
      <c r="D45" s="16"/>
    </row>
    <row r="46" spans="3:4" x14ac:dyDescent="0.2">
      <c r="D46" s="5"/>
    </row>
    <row r="47" spans="3:4" x14ac:dyDescent="0.2">
      <c r="D47" s="5"/>
    </row>
    <row r="48" spans="3:4" x14ac:dyDescent="0.2">
      <c r="D48" s="5"/>
    </row>
    <row r="49" spans="4:4" x14ac:dyDescent="0.2">
      <c r="D49" s="5"/>
    </row>
    <row r="50" spans="4:4" x14ac:dyDescent="0.2">
      <c r="D50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5"/>
  <sheetViews>
    <sheetView workbookViewId="0">
      <selection activeCell="A17" sqref="A17:D19"/>
    </sheetView>
  </sheetViews>
  <sheetFormatPr defaultRowHeight="12.75" x14ac:dyDescent="0.2"/>
  <cols>
    <col min="1" max="1" width="19.7109375" style="16" customWidth="1"/>
    <col min="2" max="2" width="4.42578125" style="10" customWidth="1"/>
    <col min="3" max="3" width="12.7109375" style="16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6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46</v>
      </c>
      <c r="I1" s="43" t="s">
        <v>47</v>
      </c>
      <c r="J1" s="44" t="s">
        <v>48</v>
      </c>
    </row>
    <row r="2" spans="1:16" x14ac:dyDescent="0.2">
      <c r="I2" s="45" t="s">
        <v>49</v>
      </c>
      <c r="J2" s="46" t="s">
        <v>50</v>
      </c>
    </row>
    <row r="3" spans="1:16" x14ac:dyDescent="0.2">
      <c r="A3" s="47" t="s">
        <v>51</v>
      </c>
      <c r="I3" s="45" t="s">
        <v>52</v>
      </c>
      <c r="J3" s="46" t="s">
        <v>53</v>
      </c>
    </row>
    <row r="4" spans="1:16" x14ac:dyDescent="0.2">
      <c r="I4" s="45" t="s">
        <v>54</v>
      </c>
      <c r="J4" s="46" t="s">
        <v>53</v>
      </c>
    </row>
    <row r="5" spans="1:16" ht="13.5" thickBot="1" x14ac:dyDescent="0.25">
      <c r="I5" s="48" t="s">
        <v>55</v>
      </c>
      <c r="J5" s="49" t="s">
        <v>56</v>
      </c>
    </row>
    <row r="10" spans="1:16" ht="13.5" thickBot="1" x14ac:dyDescent="0.25"/>
    <row r="11" spans="1:16" ht="12.75" customHeight="1" thickBot="1" x14ac:dyDescent="0.25">
      <c r="A11" s="16" t="str">
        <f t="shared" ref="A11:A19" si="0">P11</f>
        <v>IBVS 5287 </v>
      </c>
      <c r="B11" s="5" t="str">
        <f t="shared" ref="B11:B19" si="1">IF(H11=INT(H11),"I","II")</f>
        <v>I</v>
      </c>
      <c r="C11" s="16">
        <f t="shared" ref="C11:C19" si="2">1*G11</f>
        <v>51781.484900000003</v>
      </c>
      <c r="D11" s="10" t="str">
        <f t="shared" ref="D11:D19" si="3">VLOOKUP(F11,I$1:J$5,2,FALSE)</f>
        <v>vis</v>
      </c>
      <c r="E11" s="50">
        <f>VLOOKUP(C11,Active!C$21:E$971,3,FALSE)</f>
        <v>8002.0404836984835</v>
      </c>
      <c r="F11" s="5" t="s">
        <v>55</v>
      </c>
      <c r="G11" s="10" t="str">
        <f t="shared" ref="G11:G19" si="4">MID(I11,3,LEN(I11)-3)</f>
        <v>51781.4849</v>
      </c>
      <c r="H11" s="16">
        <f t="shared" ref="H11:H19" si="5">1*K11</f>
        <v>8002</v>
      </c>
      <c r="I11" s="51" t="s">
        <v>57</v>
      </c>
      <c r="J11" s="52" t="s">
        <v>58</v>
      </c>
      <c r="K11" s="51">
        <v>8002</v>
      </c>
      <c r="L11" s="51" t="s">
        <v>59</v>
      </c>
      <c r="M11" s="52" t="s">
        <v>60</v>
      </c>
      <c r="N11" s="52" t="s">
        <v>61</v>
      </c>
      <c r="O11" s="53" t="s">
        <v>62</v>
      </c>
      <c r="P11" s="54" t="s">
        <v>63</v>
      </c>
    </row>
    <row r="12" spans="1:16" ht="12.75" customHeight="1" thickBot="1" x14ac:dyDescent="0.25">
      <c r="A12" s="16" t="str">
        <f t="shared" si="0"/>
        <v> BBS 129 </v>
      </c>
      <c r="B12" s="5" t="str">
        <f t="shared" si="1"/>
        <v>I</v>
      </c>
      <c r="C12" s="16">
        <f t="shared" si="2"/>
        <v>52547.347199999997</v>
      </c>
      <c r="D12" s="10" t="str">
        <f t="shared" si="3"/>
        <v>vis</v>
      </c>
      <c r="E12" s="50">
        <f>VLOOKUP(C12,Active!C$21:E$971,3,FALSE)</f>
        <v>8338.0463187912992</v>
      </c>
      <c r="F12" s="5" t="s">
        <v>55</v>
      </c>
      <c r="G12" s="10" t="str">
        <f t="shared" si="4"/>
        <v>52547.3472</v>
      </c>
      <c r="H12" s="16">
        <f t="shared" si="5"/>
        <v>8338</v>
      </c>
      <c r="I12" s="51" t="s">
        <v>64</v>
      </c>
      <c r="J12" s="52" t="s">
        <v>65</v>
      </c>
      <c r="K12" s="51">
        <v>8338</v>
      </c>
      <c r="L12" s="51" t="s">
        <v>66</v>
      </c>
      <c r="M12" s="52" t="s">
        <v>60</v>
      </c>
      <c r="N12" s="52" t="s">
        <v>61</v>
      </c>
      <c r="O12" s="53" t="s">
        <v>67</v>
      </c>
      <c r="P12" s="53" t="s">
        <v>68</v>
      </c>
    </row>
    <row r="13" spans="1:16" ht="12.75" customHeight="1" thickBot="1" x14ac:dyDescent="0.25">
      <c r="A13" s="16" t="str">
        <f t="shared" si="0"/>
        <v>BAVM 183 </v>
      </c>
      <c r="B13" s="5" t="str">
        <f t="shared" si="1"/>
        <v>I</v>
      </c>
      <c r="C13" s="16">
        <f t="shared" si="2"/>
        <v>53935.448400000001</v>
      </c>
      <c r="D13" s="10" t="str">
        <f t="shared" si="3"/>
        <v>vis</v>
      </c>
      <c r="E13" s="50">
        <f>VLOOKUP(C13,Active!C$21:E$971,3,FALSE)</f>
        <v>8947.0462694343132</v>
      </c>
      <c r="F13" s="5" t="s">
        <v>55</v>
      </c>
      <c r="G13" s="10" t="str">
        <f t="shared" si="4"/>
        <v>53935.4484</v>
      </c>
      <c r="H13" s="16">
        <f t="shared" si="5"/>
        <v>8947</v>
      </c>
      <c r="I13" s="51" t="s">
        <v>74</v>
      </c>
      <c r="J13" s="52" t="s">
        <v>75</v>
      </c>
      <c r="K13" s="51">
        <v>8947</v>
      </c>
      <c r="L13" s="51" t="s">
        <v>76</v>
      </c>
      <c r="M13" s="52" t="s">
        <v>77</v>
      </c>
      <c r="N13" s="52" t="s">
        <v>78</v>
      </c>
      <c r="O13" s="53" t="s">
        <v>79</v>
      </c>
      <c r="P13" s="54" t="s">
        <v>80</v>
      </c>
    </row>
    <row r="14" spans="1:16" ht="12.75" customHeight="1" thickBot="1" x14ac:dyDescent="0.25">
      <c r="A14" s="16" t="str">
        <f t="shared" si="0"/>
        <v>BAVM 183 </v>
      </c>
      <c r="B14" s="5" t="str">
        <f t="shared" si="1"/>
        <v>I</v>
      </c>
      <c r="C14" s="16">
        <f t="shared" si="2"/>
        <v>53992.438199999997</v>
      </c>
      <c r="D14" s="10" t="str">
        <f t="shared" si="3"/>
        <v>vis</v>
      </c>
      <c r="E14" s="50">
        <f>VLOOKUP(C14,Active!C$21:E$971,3,FALSE)</f>
        <v>8972.0493350516845</v>
      </c>
      <c r="F14" s="5" t="s">
        <v>55</v>
      </c>
      <c r="G14" s="10" t="str">
        <f t="shared" si="4"/>
        <v>53992.4382</v>
      </c>
      <c r="H14" s="16">
        <f t="shared" si="5"/>
        <v>8972</v>
      </c>
      <c r="I14" s="51" t="s">
        <v>81</v>
      </c>
      <c r="J14" s="52" t="s">
        <v>82</v>
      </c>
      <c r="K14" s="51" t="s">
        <v>83</v>
      </c>
      <c r="L14" s="51" t="s">
        <v>84</v>
      </c>
      <c r="M14" s="52" t="s">
        <v>77</v>
      </c>
      <c r="N14" s="52" t="s">
        <v>78</v>
      </c>
      <c r="O14" s="53" t="s">
        <v>79</v>
      </c>
      <c r="P14" s="54" t="s">
        <v>80</v>
      </c>
    </row>
    <row r="15" spans="1:16" ht="12.75" customHeight="1" thickBot="1" x14ac:dyDescent="0.25">
      <c r="A15" s="16" t="str">
        <f t="shared" si="0"/>
        <v>BAVM 186 </v>
      </c>
      <c r="B15" s="5" t="str">
        <f t="shared" si="1"/>
        <v>I</v>
      </c>
      <c r="C15" s="16">
        <f t="shared" si="2"/>
        <v>54024.373</v>
      </c>
      <c r="D15" s="10" t="str">
        <f t="shared" si="3"/>
        <v>vis</v>
      </c>
      <c r="E15" s="50">
        <f>VLOOKUP(C15,Active!C$21:E$971,3,FALSE)</f>
        <v>8986.0600510022196</v>
      </c>
      <c r="F15" s="5" t="s">
        <v>55</v>
      </c>
      <c r="G15" s="10" t="str">
        <f t="shared" si="4"/>
        <v>54024.3730</v>
      </c>
      <c r="H15" s="16">
        <f t="shared" si="5"/>
        <v>8986</v>
      </c>
      <c r="I15" s="51" t="s">
        <v>85</v>
      </c>
      <c r="J15" s="52" t="s">
        <v>86</v>
      </c>
      <c r="K15" s="51" t="s">
        <v>87</v>
      </c>
      <c r="L15" s="51" t="s">
        <v>88</v>
      </c>
      <c r="M15" s="52" t="s">
        <v>77</v>
      </c>
      <c r="N15" s="52" t="s">
        <v>78</v>
      </c>
      <c r="O15" s="53" t="s">
        <v>89</v>
      </c>
      <c r="P15" s="54" t="s">
        <v>90</v>
      </c>
    </row>
    <row r="16" spans="1:16" ht="12.75" customHeight="1" thickBot="1" x14ac:dyDescent="0.25">
      <c r="A16" s="16" t="str">
        <f t="shared" si="0"/>
        <v>BAVM 231 </v>
      </c>
      <c r="B16" s="5" t="str">
        <f t="shared" si="1"/>
        <v>I</v>
      </c>
      <c r="C16" s="16">
        <f t="shared" si="2"/>
        <v>56203.391300000003</v>
      </c>
      <c r="D16" s="10" t="str">
        <f t="shared" si="3"/>
        <v>vis</v>
      </c>
      <c r="E16" s="50">
        <f>VLOOKUP(C16,Active!C$21:E$971,3,FALSE)</f>
        <v>9942.0580986591358</v>
      </c>
      <c r="F16" s="5" t="s">
        <v>55</v>
      </c>
      <c r="G16" s="10" t="str">
        <f t="shared" si="4"/>
        <v>56203.3913</v>
      </c>
      <c r="H16" s="16">
        <f t="shared" si="5"/>
        <v>9942</v>
      </c>
      <c r="I16" s="51" t="s">
        <v>104</v>
      </c>
      <c r="J16" s="52" t="s">
        <v>105</v>
      </c>
      <c r="K16" s="51" t="s">
        <v>106</v>
      </c>
      <c r="L16" s="51" t="s">
        <v>107</v>
      </c>
      <c r="M16" s="52" t="s">
        <v>77</v>
      </c>
      <c r="N16" s="52" t="s">
        <v>78</v>
      </c>
      <c r="O16" s="53" t="s">
        <v>102</v>
      </c>
      <c r="P16" s="54" t="s">
        <v>108</v>
      </c>
    </row>
    <row r="17" spans="1:16" ht="12.75" customHeight="1" thickBot="1" x14ac:dyDescent="0.25">
      <c r="A17" s="16" t="str">
        <f t="shared" si="0"/>
        <v>IBVS 5741 </v>
      </c>
      <c r="B17" s="5" t="str">
        <f t="shared" si="1"/>
        <v>I</v>
      </c>
      <c r="C17" s="16">
        <f t="shared" si="2"/>
        <v>53290.408600000002</v>
      </c>
      <c r="D17" s="10" t="str">
        <f t="shared" si="3"/>
        <v>vis</v>
      </c>
      <c r="E17" s="50" t="e">
        <f>VLOOKUP(C17,Active!C$21:E$971,3,FALSE)</f>
        <v>#N/A</v>
      </c>
      <c r="F17" s="5" t="s">
        <v>55</v>
      </c>
      <c r="G17" s="10" t="str">
        <f t="shared" si="4"/>
        <v>53290.4086</v>
      </c>
      <c r="H17" s="16">
        <f t="shared" si="5"/>
        <v>8664</v>
      </c>
      <c r="I17" s="51" t="s">
        <v>69</v>
      </c>
      <c r="J17" s="52" t="s">
        <v>70</v>
      </c>
      <c r="K17" s="51">
        <v>8664</v>
      </c>
      <c r="L17" s="51" t="s">
        <v>71</v>
      </c>
      <c r="M17" s="52" t="s">
        <v>60</v>
      </c>
      <c r="N17" s="52" t="s">
        <v>61</v>
      </c>
      <c r="O17" s="53" t="s">
        <v>72</v>
      </c>
      <c r="P17" s="54" t="s">
        <v>73</v>
      </c>
    </row>
    <row r="18" spans="1:16" ht="12.75" customHeight="1" thickBot="1" x14ac:dyDescent="0.25">
      <c r="A18" s="16" t="str">
        <f t="shared" si="0"/>
        <v>OEJV 0107 </v>
      </c>
      <c r="B18" s="5" t="str">
        <f t="shared" si="1"/>
        <v>I</v>
      </c>
      <c r="C18" s="16">
        <f t="shared" si="2"/>
        <v>54327.497600000002</v>
      </c>
      <c r="D18" s="10" t="str">
        <f t="shared" si="3"/>
        <v>vis</v>
      </c>
      <c r="E18" s="50" t="e">
        <f>VLOOKUP(C18,Active!C$21:E$971,3,FALSE)</f>
        <v>#N/A</v>
      </c>
      <c r="F18" s="5" t="s">
        <v>55</v>
      </c>
      <c r="G18" s="10" t="str">
        <f t="shared" si="4"/>
        <v>54327.4976</v>
      </c>
      <c r="H18" s="16">
        <f t="shared" si="5"/>
        <v>9119</v>
      </c>
      <c r="I18" s="51" t="s">
        <v>91</v>
      </c>
      <c r="J18" s="52" t="s">
        <v>92</v>
      </c>
      <c r="K18" s="51" t="s">
        <v>93</v>
      </c>
      <c r="L18" s="51" t="s">
        <v>94</v>
      </c>
      <c r="M18" s="52" t="s">
        <v>77</v>
      </c>
      <c r="N18" s="52" t="s">
        <v>95</v>
      </c>
      <c r="O18" s="53" t="s">
        <v>96</v>
      </c>
      <c r="P18" s="54" t="s">
        <v>97</v>
      </c>
    </row>
    <row r="19" spans="1:16" ht="12.75" customHeight="1" thickBot="1" x14ac:dyDescent="0.25">
      <c r="A19" s="16" t="str">
        <f t="shared" si="0"/>
        <v>BAVM 220 </v>
      </c>
      <c r="B19" s="5" t="str">
        <f t="shared" si="1"/>
        <v>I</v>
      </c>
      <c r="C19" s="16">
        <f t="shared" si="2"/>
        <v>55690.54</v>
      </c>
      <c r="D19" s="10" t="str">
        <f t="shared" si="3"/>
        <v>vis</v>
      </c>
      <c r="E19" s="50">
        <f>VLOOKUP(C19,Active!C$21:E$971,3,FALSE)</f>
        <v>9717.0554717705436</v>
      </c>
      <c r="F19" s="5" t="s">
        <v>55</v>
      </c>
      <c r="G19" s="10" t="str">
        <f t="shared" si="4"/>
        <v>55690.5400</v>
      </c>
      <c r="H19" s="16">
        <f t="shared" si="5"/>
        <v>9717</v>
      </c>
      <c r="I19" s="51" t="s">
        <v>98</v>
      </c>
      <c r="J19" s="52" t="s">
        <v>99</v>
      </c>
      <c r="K19" s="51" t="s">
        <v>100</v>
      </c>
      <c r="L19" s="51" t="s">
        <v>101</v>
      </c>
      <c r="M19" s="52" t="s">
        <v>77</v>
      </c>
      <c r="N19" s="52" t="s">
        <v>78</v>
      </c>
      <c r="O19" s="53" t="s">
        <v>102</v>
      </c>
      <c r="P19" s="54" t="s">
        <v>103</v>
      </c>
    </row>
    <row r="20" spans="1:16" x14ac:dyDescent="0.2">
      <c r="B20" s="5"/>
      <c r="F20" s="5"/>
    </row>
    <row r="21" spans="1:16" x14ac:dyDescent="0.2">
      <c r="B21" s="5"/>
      <c r="F21" s="5"/>
    </row>
    <row r="22" spans="1:16" x14ac:dyDescent="0.2">
      <c r="B22" s="5"/>
      <c r="F22" s="5"/>
    </row>
    <row r="23" spans="1:16" x14ac:dyDescent="0.2">
      <c r="B23" s="5"/>
      <c r="F23" s="5"/>
    </row>
    <row r="24" spans="1:16" x14ac:dyDescent="0.2">
      <c r="B24" s="5"/>
      <c r="F24" s="5"/>
    </row>
    <row r="25" spans="1:16" x14ac:dyDescent="0.2">
      <c r="B25" s="5"/>
      <c r="F25" s="5"/>
    </row>
    <row r="26" spans="1:16" x14ac:dyDescent="0.2">
      <c r="B26" s="5"/>
      <c r="F26" s="5"/>
    </row>
    <row r="27" spans="1:16" x14ac:dyDescent="0.2">
      <c r="B27" s="5"/>
      <c r="F27" s="5"/>
    </row>
    <row r="28" spans="1:16" x14ac:dyDescent="0.2">
      <c r="B28" s="5"/>
      <c r="F28" s="5"/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</sheetData>
  <phoneticPr fontId="7" type="noConversion"/>
  <hyperlinks>
    <hyperlink ref="P11" r:id="rId1" display="http://www.konkoly.hu/cgi-bin/IBVS?5287"/>
    <hyperlink ref="P17" r:id="rId2" display="http://www.konkoly.hu/cgi-bin/IBVS?5741"/>
    <hyperlink ref="P13" r:id="rId3" display="http://www.bav-astro.de/sfs/BAVM_link.php?BAVMnr=183"/>
    <hyperlink ref="P14" r:id="rId4" display="http://www.bav-astro.de/sfs/BAVM_link.php?BAVMnr=183"/>
    <hyperlink ref="P15" r:id="rId5" display="http://www.bav-astro.de/sfs/BAVM_link.php?BAVMnr=186"/>
    <hyperlink ref="P18" r:id="rId6" display="http://var.astro.cz/oejv/issues/oejv0107.pdf"/>
    <hyperlink ref="P19" r:id="rId7" display="http://www.bav-astro.de/sfs/BAVM_link.php?BAVMnr=220"/>
    <hyperlink ref="P16" r:id="rId8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2024-02-04T03:42:37Z</dcterms:modified>
</cp:coreProperties>
</file>