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D472B00-59DF-459E-B214-90CDF54D93B4}" xr6:coauthVersionLast="47" xr6:coauthVersionMax="47" xr10:uidLastSave="{00000000-0000-0000-0000-000000000000}"/>
  <bookViews>
    <workbookView xWindow="-120" yWindow="-120" windowWidth="29040" windowHeight="15840"/>
  </bookViews>
  <sheets>
    <sheet name="A" sheetId="5" r:id="rId1"/>
    <sheet name="A (old)" sheetId="1" r:id="rId2"/>
    <sheet name="B" sheetId="2" r:id="rId3"/>
    <sheet name="C" sheetId="3" r:id="rId4"/>
    <sheet name="D" sheetId="4" r:id="rId5"/>
    <sheet name="BAV" sheetId="6" r:id="rId6"/>
  </sheets>
  <calcPr calcId="181029"/>
</workbook>
</file>

<file path=xl/calcChain.xml><?xml version="1.0" encoding="utf-8"?>
<calcChain xmlns="http://schemas.openxmlformats.org/spreadsheetml/2006/main">
  <c r="S47" i="5" l="1"/>
  <c r="T47" i="5"/>
  <c r="S48" i="5"/>
  <c r="T48" i="5"/>
  <c r="S49" i="5"/>
  <c r="T49" i="5"/>
  <c r="S50" i="5"/>
  <c r="T50" i="5"/>
  <c r="S51" i="5"/>
  <c r="T51" i="5"/>
  <c r="S52" i="5"/>
  <c r="T52" i="5"/>
  <c r="S53" i="5"/>
  <c r="T53" i="5"/>
  <c r="S54" i="5"/>
  <c r="T54" i="5"/>
  <c r="S55" i="5"/>
  <c r="T55" i="5"/>
  <c r="S56" i="5"/>
  <c r="T56" i="5"/>
  <c r="S57" i="5"/>
  <c r="T57" i="5"/>
  <c r="E57" i="5"/>
  <c r="F57" i="5"/>
  <c r="G57" i="5" s="1"/>
  <c r="K57" i="5" s="1"/>
  <c r="Q57" i="5"/>
  <c r="T23" i="5"/>
  <c r="F22" i="5"/>
  <c r="G22" i="5" s="1"/>
  <c r="K22" i="5" s="1"/>
  <c r="E27" i="5"/>
  <c r="F27" i="5"/>
  <c r="U27" i="5"/>
  <c r="E28" i="5"/>
  <c r="F28" i="5" s="1"/>
  <c r="U28" i="5" s="1"/>
  <c r="E29" i="5"/>
  <c r="F29" i="5"/>
  <c r="U29" i="5" s="1"/>
  <c r="E30" i="5"/>
  <c r="F30" i="5"/>
  <c r="U30" i="5" s="1"/>
  <c r="E31" i="5"/>
  <c r="F31" i="5" s="1"/>
  <c r="U31" i="5" s="1"/>
  <c r="E32" i="5"/>
  <c r="F32" i="5" s="1"/>
  <c r="U32" i="5" s="1"/>
  <c r="E21" i="5"/>
  <c r="F21" i="5" s="1"/>
  <c r="U21" i="5" s="1"/>
  <c r="K21" i="5" s="1"/>
  <c r="E22" i="5"/>
  <c r="E24" i="5"/>
  <c r="F24" i="5" s="1"/>
  <c r="G24" i="5" s="1"/>
  <c r="K24" i="5" s="1"/>
  <c r="E56" i="5"/>
  <c r="F56" i="5" s="1"/>
  <c r="G56" i="5" s="1"/>
  <c r="I56" i="5" s="1"/>
  <c r="E55" i="5"/>
  <c r="F55" i="5"/>
  <c r="G55" i="5" s="1"/>
  <c r="I55" i="5" s="1"/>
  <c r="E53" i="5"/>
  <c r="F53" i="5" s="1"/>
  <c r="G53" i="5" s="1"/>
  <c r="K53" i="5" s="1"/>
  <c r="Q53" i="5"/>
  <c r="Q55" i="5"/>
  <c r="Q56" i="5"/>
  <c r="E33" i="5"/>
  <c r="F33" i="5"/>
  <c r="G33" i="5" s="1"/>
  <c r="K33" i="5" s="1"/>
  <c r="E34" i="5"/>
  <c r="F34" i="5" s="1"/>
  <c r="G34" i="5" s="1"/>
  <c r="K34" i="5" s="1"/>
  <c r="E35" i="5"/>
  <c r="F35" i="5" s="1"/>
  <c r="G35" i="5" s="1"/>
  <c r="K35" i="5" s="1"/>
  <c r="E37" i="5"/>
  <c r="F37" i="5" s="1"/>
  <c r="G37" i="5" s="1"/>
  <c r="K37" i="5" s="1"/>
  <c r="E38" i="5"/>
  <c r="F38" i="5"/>
  <c r="G38" i="5"/>
  <c r="E39" i="5"/>
  <c r="F39" i="5"/>
  <c r="G39" i="5"/>
  <c r="K39" i="5" s="1"/>
  <c r="E40" i="5"/>
  <c r="F40" i="5" s="1"/>
  <c r="G40" i="5" s="1"/>
  <c r="K40" i="5" s="1"/>
  <c r="E41" i="5"/>
  <c r="F41" i="5"/>
  <c r="G41" i="5" s="1"/>
  <c r="K41" i="5" s="1"/>
  <c r="E42" i="5"/>
  <c r="F42" i="5"/>
  <c r="G42" i="5" s="1"/>
  <c r="K42" i="5" s="1"/>
  <c r="E43" i="5"/>
  <c r="F43" i="5" s="1"/>
  <c r="G43" i="5" s="1"/>
  <c r="K43" i="5" s="1"/>
  <c r="E44" i="5"/>
  <c r="F44" i="5" s="1"/>
  <c r="G44" i="5" s="1"/>
  <c r="K44" i="5" s="1"/>
  <c r="E45" i="5"/>
  <c r="F45" i="5" s="1"/>
  <c r="G45" i="5" s="1"/>
  <c r="K45" i="5" s="1"/>
  <c r="E46" i="5"/>
  <c r="F46" i="5"/>
  <c r="G46" i="5"/>
  <c r="E47" i="5"/>
  <c r="F47" i="5"/>
  <c r="G47" i="5"/>
  <c r="K47" i="5" s="1"/>
  <c r="E48" i="5"/>
  <c r="F48" i="5" s="1"/>
  <c r="G48" i="5" s="1"/>
  <c r="J48" i="5" s="1"/>
  <c r="E49" i="5"/>
  <c r="F49" i="5"/>
  <c r="G49" i="5"/>
  <c r="J49" i="5" s="1"/>
  <c r="E50" i="5"/>
  <c r="F50" i="5" s="1"/>
  <c r="G50" i="5" s="1"/>
  <c r="J50" i="5" s="1"/>
  <c r="E51" i="5"/>
  <c r="F51" i="5"/>
  <c r="G51" i="5"/>
  <c r="K51" i="5" s="1"/>
  <c r="E52" i="5"/>
  <c r="F52" i="5"/>
  <c r="G52" i="5" s="1"/>
  <c r="J52" i="5" s="1"/>
  <c r="E54" i="5"/>
  <c r="F54" i="5" s="1"/>
  <c r="G54" i="5" s="1"/>
  <c r="K54" i="5" s="1"/>
  <c r="E36" i="5"/>
  <c r="F36" i="5"/>
  <c r="E23" i="5"/>
  <c r="F23" i="5"/>
  <c r="G23" i="5"/>
  <c r="D9" i="5"/>
  <c r="C9" i="5"/>
  <c r="G44" i="6"/>
  <c r="C44" i="6"/>
  <c r="G43" i="6"/>
  <c r="C43" i="6"/>
  <c r="E43" i="6"/>
  <c r="G42" i="6"/>
  <c r="C42" i="6"/>
  <c r="E42" i="6"/>
  <c r="G41" i="6"/>
  <c r="C41" i="6"/>
  <c r="E41" i="6"/>
  <c r="G40" i="6"/>
  <c r="C40" i="6"/>
  <c r="E40" i="6"/>
  <c r="G39" i="6"/>
  <c r="C39" i="6"/>
  <c r="E39" i="6"/>
  <c r="G38" i="6"/>
  <c r="C38" i="6"/>
  <c r="E38" i="6"/>
  <c r="G37" i="6"/>
  <c r="C37" i="6"/>
  <c r="E37" i="6"/>
  <c r="G36" i="6"/>
  <c r="C36" i="6"/>
  <c r="E36" i="6"/>
  <c r="G35" i="6"/>
  <c r="C35" i="6"/>
  <c r="G34" i="6"/>
  <c r="C34" i="6"/>
  <c r="E34" i="6"/>
  <c r="G33" i="6"/>
  <c r="C33" i="6"/>
  <c r="E33" i="6"/>
  <c r="G32" i="6"/>
  <c r="C32" i="6"/>
  <c r="E32" i="6"/>
  <c r="G31" i="6"/>
  <c r="C31" i="6"/>
  <c r="E31" i="6"/>
  <c r="G30" i="6"/>
  <c r="C30" i="6"/>
  <c r="E30" i="6"/>
  <c r="G29" i="6"/>
  <c r="C29" i="6"/>
  <c r="E29" i="6"/>
  <c r="G28" i="6"/>
  <c r="C28" i="6"/>
  <c r="E28" i="6"/>
  <c r="G27" i="6"/>
  <c r="C27" i="6"/>
  <c r="G26" i="6"/>
  <c r="C26" i="6"/>
  <c r="E26" i="6"/>
  <c r="G25" i="6"/>
  <c r="C25" i="6"/>
  <c r="E25" i="6"/>
  <c r="G24" i="6"/>
  <c r="C24" i="6"/>
  <c r="E24" i="6"/>
  <c r="G23" i="6"/>
  <c r="C23" i="6"/>
  <c r="E23" i="6"/>
  <c r="G22" i="6"/>
  <c r="C22" i="6"/>
  <c r="E22" i="6"/>
  <c r="G21" i="6"/>
  <c r="C21" i="6"/>
  <c r="E21" i="6"/>
  <c r="G20" i="6"/>
  <c r="C20" i="6"/>
  <c r="E20" i="6"/>
  <c r="G19" i="6"/>
  <c r="C19" i="6"/>
  <c r="E19" i="6"/>
  <c r="G18" i="6"/>
  <c r="C18" i="6"/>
  <c r="E18" i="6"/>
  <c r="G17" i="6"/>
  <c r="C17" i="6"/>
  <c r="E17" i="6"/>
  <c r="G16" i="6"/>
  <c r="C16" i="6"/>
  <c r="E26" i="5"/>
  <c r="E16" i="6" s="1"/>
  <c r="G15" i="6"/>
  <c r="C15" i="6"/>
  <c r="E15" i="6"/>
  <c r="E25" i="5"/>
  <c r="G14" i="6"/>
  <c r="C14" i="6"/>
  <c r="E14" i="6"/>
  <c r="G13" i="6"/>
  <c r="C13" i="6"/>
  <c r="E13" i="6"/>
  <c r="G12" i="6"/>
  <c r="C12" i="6"/>
  <c r="E12" i="6"/>
  <c r="G11" i="6"/>
  <c r="C11" i="6"/>
  <c r="H44" i="6"/>
  <c r="B44" i="6"/>
  <c r="D44" i="6"/>
  <c r="A44" i="6"/>
  <c r="H43" i="6"/>
  <c r="D43" i="6"/>
  <c r="B43" i="6"/>
  <c r="A43" i="6"/>
  <c r="H42" i="6"/>
  <c r="B42" i="6"/>
  <c r="D42" i="6"/>
  <c r="A42" i="6"/>
  <c r="H41" i="6"/>
  <c r="D41" i="6"/>
  <c r="B41" i="6"/>
  <c r="A41" i="6"/>
  <c r="H40" i="6"/>
  <c r="B40" i="6"/>
  <c r="D40" i="6"/>
  <c r="A40" i="6"/>
  <c r="H39" i="6"/>
  <c r="D39" i="6"/>
  <c r="B39" i="6"/>
  <c r="A39" i="6"/>
  <c r="H38" i="6"/>
  <c r="B38" i="6"/>
  <c r="D38" i="6"/>
  <c r="A38" i="6"/>
  <c r="H37" i="6"/>
  <c r="D37" i="6"/>
  <c r="B37" i="6"/>
  <c r="A37" i="6"/>
  <c r="H36" i="6"/>
  <c r="B36" i="6"/>
  <c r="D36" i="6"/>
  <c r="A36" i="6"/>
  <c r="H35" i="6"/>
  <c r="D35" i="6"/>
  <c r="B35" i="6"/>
  <c r="A35" i="6"/>
  <c r="H34" i="6"/>
  <c r="B34" i="6"/>
  <c r="D34" i="6"/>
  <c r="A34" i="6"/>
  <c r="H33" i="6"/>
  <c r="D33" i="6"/>
  <c r="B33" i="6"/>
  <c r="A33" i="6"/>
  <c r="H32" i="6"/>
  <c r="B32" i="6"/>
  <c r="D32" i="6"/>
  <c r="A32" i="6"/>
  <c r="H31" i="6"/>
  <c r="D31" i="6"/>
  <c r="B31" i="6"/>
  <c r="A31" i="6"/>
  <c r="H30" i="6"/>
  <c r="B30" i="6"/>
  <c r="D30" i="6"/>
  <c r="A30" i="6"/>
  <c r="H29" i="6"/>
  <c r="D29" i="6"/>
  <c r="B29" i="6"/>
  <c r="A29" i="6"/>
  <c r="H28" i="6"/>
  <c r="B28" i="6"/>
  <c r="D28" i="6"/>
  <c r="A28" i="6"/>
  <c r="H27" i="6"/>
  <c r="D27" i="6"/>
  <c r="B27" i="6"/>
  <c r="A27" i="6"/>
  <c r="H26" i="6"/>
  <c r="B26" i="6"/>
  <c r="D26" i="6"/>
  <c r="A26" i="6"/>
  <c r="H25" i="6"/>
  <c r="D25" i="6"/>
  <c r="B25" i="6"/>
  <c r="A25" i="6"/>
  <c r="H24" i="6"/>
  <c r="B24" i="6"/>
  <c r="D24" i="6"/>
  <c r="A24" i="6"/>
  <c r="H23" i="6"/>
  <c r="D23" i="6"/>
  <c r="B23" i="6"/>
  <c r="A23" i="6"/>
  <c r="H22" i="6"/>
  <c r="B22" i="6"/>
  <c r="D22" i="6"/>
  <c r="A22" i="6"/>
  <c r="H21" i="6"/>
  <c r="D21" i="6"/>
  <c r="B21" i="6"/>
  <c r="A21" i="6"/>
  <c r="H20" i="6"/>
  <c r="B20" i="6"/>
  <c r="D20" i="6"/>
  <c r="A20" i="6"/>
  <c r="H19" i="6"/>
  <c r="D19" i="6"/>
  <c r="B19" i="6"/>
  <c r="A19" i="6"/>
  <c r="H18" i="6"/>
  <c r="B18" i="6"/>
  <c r="D18" i="6"/>
  <c r="A18" i="6"/>
  <c r="H17" i="6"/>
  <c r="D17" i="6"/>
  <c r="B17" i="6"/>
  <c r="A17" i="6"/>
  <c r="H16" i="6"/>
  <c r="B16" i="6"/>
  <c r="D16" i="6"/>
  <c r="A16" i="6"/>
  <c r="H15" i="6"/>
  <c r="D15" i="6"/>
  <c r="B15" i="6"/>
  <c r="A15" i="6"/>
  <c r="H14" i="6"/>
  <c r="B14" i="6"/>
  <c r="D14" i="6"/>
  <c r="A14" i="6"/>
  <c r="H13" i="6"/>
  <c r="D13" i="6"/>
  <c r="B13" i="6"/>
  <c r="A13" i="6"/>
  <c r="H12" i="6"/>
  <c r="B12" i="6"/>
  <c r="D12" i="6"/>
  <c r="A12" i="6"/>
  <c r="H11" i="6"/>
  <c r="D11" i="6"/>
  <c r="B11" i="6"/>
  <c r="A11" i="6"/>
  <c r="Q47" i="5"/>
  <c r="Q49" i="5"/>
  <c r="F25" i="5"/>
  <c r="U25" i="5" s="1"/>
  <c r="F26" i="5"/>
  <c r="U26" i="5" s="1"/>
  <c r="F17" i="5"/>
  <c r="C17" i="5"/>
  <c r="Q21" i="5"/>
  <c r="Q22" i="5"/>
  <c r="S22" i="5"/>
  <c r="T22" i="5"/>
  <c r="Q23" i="5"/>
  <c r="S23" i="5"/>
  <c r="Q24" i="5"/>
  <c r="S24" i="5"/>
  <c r="T24" i="5"/>
  <c r="Q25" i="5"/>
  <c r="S25" i="5"/>
  <c r="T25" i="5"/>
  <c r="Q26" i="5"/>
  <c r="S26" i="5"/>
  <c r="T26" i="5"/>
  <c r="Q27" i="5"/>
  <c r="S27" i="5"/>
  <c r="T27" i="5"/>
  <c r="Q28" i="5"/>
  <c r="S28" i="5"/>
  <c r="T28" i="5"/>
  <c r="Q29" i="5"/>
  <c r="S29" i="5"/>
  <c r="T29" i="5"/>
  <c r="Q30" i="5"/>
  <c r="S30" i="5"/>
  <c r="T30" i="5"/>
  <c r="Q31" i="5"/>
  <c r="S31" i="5"/>
  <c r="T31" i="5"/>
  <c r="Q32" i="5"/>
  <c r="S32" i="5"/>
  <c r="T32" i="5"/>
  <c r="Q33" i="5"/>
  <c r="S33" i="5"/>
  <c r="T33" i="5"/>
  <c r="Q34" i="5"/>
  <c r="S34" i="5"/>
  <c r="T34" i="5"/>
  <c r="Q35" i="5"/>
  <c r="S35" i="5"/>
  <c r="T35" i="5"/>
  <c r="Q36" i="5"/>
  <c r="S36" i="5"/>
  <c r="T36" i="5"/>
  <c r="Q37" i="5"/>
  <c r="S37" i="5"/>
  <c r="T37" i="5"/>
  <c r="Q38" i="5"/>
  <c r="S38" i="5"/>
  <c r="T38" i="5"/>
  <c r="Q39" i="5"/>
  <c r="S39" i="5"/>
  <c r="T39" i="5"/>
  <c r="Q40" i="5"/>
  <c r="S40" i="5"/>
  <c r="T40" i="5"/>
  <c r="Q41" i="5"/>
  <c r="S41" i="5"/>
  <c r="T41" i="5"/>
  <c r="Q42" i="5"/>
  <c r="S42" i="5"/>
  <c r="T42" i="5"/>
  <c r="Q43" i="5"/>
  <c r="S43" i="5"/>
  <c r="T43" i="5"/>
  <c r="Q44" i="5"/>
  <c r="S44" i="5"/>
  <c r="T44" i="5"/>
  <c r="Q45" i="5"/>
  <c r="S45" i="5"/>
  <c r="T45" i="5"/>
  <c r="Q46" i="5"/>
  <c r="S46" i="5"/>
  <c r="T46" i="5"/>
  <c r="Q48" i="5"/>
  <c r="Q50" i="5"/>
  <c r="Q51" i="5"/>
  <c r="Q52" i="5"/>
  <c r="Q54" i="5"/>
  <c r="E51" i="4"/>
  <c r="F51" i="4"/>
  <c r="G51" i="4"/>
  <c r="K51" i="4"/>
  <c r="Q51" i="4"/>
  <c r="E50" i="4"/>
  <c r="F50" i="4"/>
  <c r="G50" i="4"/>
  <c r="J50" i="4"/>
  <c r="Q50" i="4"/>
  <c r="C17" i="4"/>
  <c r="F21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30" i="4"/>
  <c r="F30" i="4"/>
  <c r="G30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F39" i="4"/>
  <c r="G39" i="4"/>
  <c r="E40" i="4"/>
  <c r="F40" i="4"/>
  <c r="G40" i="4"/>
  <c r="J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J47" i="4"/>
  <c r="E48" i="4"/>
  <c r="F48" i="4"/>
  <c r="G48" i="4"/>
  <c r="E49" i="4"/>
  <c r="F49" i="4"/>
  <c r="G49" i="4"/>
  <c r="E27" i="4"/>
  <c r="F27" i="4"/>
  <c r="E28" i="4"/>
  <c r="F28" i="4"/>
  <c r="E29" i="4"/>
  <c r="F29" i="4"/>
  <c r="E31" i="4"/>
  <c r="F31" i="4"/>
  <c r="E32" i="4"/>
  <c r="F32" i="4"/>
  <c r="E22" i="4"/>
  <c r="E21" i="4"/>
  <c r="Q21" i="4"/>
  <c r="Q22" i="4"/>
  <c r="S22" i="4"/>
  <c r="T22" i="4"/>
  <c r="Q23" i="4"/>
  <c r="S23" i="4"/>
  <c r="T23" i="4"/>
  <c r="Q24" i="4"/>
  <c r="S24" i="4"/>
  <c r="T24" i="4"/>
  <c r="Q25" i="4"/>
  <c r="S25" i="4"/>
  <c r="T25" i="4"/>
  <c r="Q26" i="4"/>
  <c r="S26" i="4"/>
  <c r="T26" i="4"/>
  <c r="Q27" i="4"/>
  <c r="S27" i="4"/>
  <c r="T27" i="4"/>
  <c r="Q28" i="4"/>
  <c r="S28" i="4"/>
  <c r="T28" i="4"/>
  <c r="Q29" i="4"/>
  <c r="S29" i="4"/>
  <c r="T29" i="4"/>
  <c r="Q30" i="4"/>
  <c r="S30" i="4"/>
  <c r="T30" i="4"/>
  <c r="Q31" i="4"/>
  <c r="S31" i="4"/>
  <c r="T31" i="4"/>
  <c r="Q32" i="4"/>
  <c r="S32" i="4"/>
  <c r="T32" i="4"/>
  <c r="Q33" i="4"/>
  <c r="S33" i="4"/>
  <c r="T33" i="4"/>
  <c r="Q34" i="4"/>
  <c r="S34" i="4"/>
  <c r="T34" i="4"/>
  <c r="Q35" i="4"/>
  <c r="S35" i="4"/>
  <c r="T35" i="4"/>
  <c r="J36" i="4"/>
  <c r="Q36" i="4"/>
  <c r="S36" i="4"/>
  <c r="T36" i="4"/>
  <c r="Q37" i="4"/>
  <c r="S37" i="4"/>
  <c r="T37" i="4"/>
  <c r="J38" i="4"/>
  <c r="Q38" i="4"/>
  <c r="S38" i="4"/>
  <c r="T38" i="4"/>
  <c r="Q39" i="4"/>
  <c r="S39" i="4"/>
  <c r="T39" i="4"/>
  <c r="Q40" i="4"/>
  <c r="S40" i="4"/>
  <c r="T40" i="4"/>
  <c r="Q41" i="4"/>
  <c r="S41" i="4"/>
  <c r="T41" i="4"/>
  <c r="Q42" i="4"/>
  <c r="S42" i="4"/>
  <c r="T42" i="4"/>
  <c r="Q43" i="4"/>
  <c r="S43" i="4"/>
  <c r="T43" i="4"/>
  <c r="J44" i="4"/>
  <c r="Q44" i="4"/>
  <c r="S44" i="4"/>
  <c r="T44" i="4"/>
  <c r="Q45" i="4"/>
  <c r="S45" i="4"/>
  <c r="T45" i="4"/>
  <c r="J46" i="4"/>
  <c r="Q46" i="4"/>
  <c r="S46" i="4"/>
  <c r="T46" i="4"/>
  <c r="Q47" i="4"/>
  <c r="J48" i="4"/>
  <c r="Q48" i="4"/>
  <c r="Q49" i="4"/>
  <c r="S49" i="4"/>
  <c r="T49" i="4"/>
  <c r="E48" i="3"/>
  <c r="F48" i="3"/>
  <c r="G48" i="3"/>
  <c r="J48" i="3"/>
  <c r="E49" i="3"/>
  <c r="F49" i="3"/>
  <c r="G49" i="3"/>
  <c r="J49" i="3"/>
  <c r="E23" i="3"/>
  <c r="F23" i="3"/>
  <c r="G23" i="3"/>
  <c r="E22" i="3"/>
  <c r="F22" i="3"/>
  <c r="G22" i="3"/>
  <c r="E24" i="3"/>
  <c r="F24" i="3"/>
  <c r="G24" i="3"/>
  <c r="E25" i="3"/>
  <c r="F25" i="3"/>
  <c r="G25" i="3"/>
  <c r="E26" i="3"/>
  <c r="F26" i="3"/>
  <c r="G26" i="3"/>
  <c r="E27" i="3"/>
  <c r="F27" i="3"/>
  <c r="G27" i="3"/>
  <c r="E31" i="3"/>
  <c r="F31" i="3"/>
  <c r="G31" i="3"/>
  <c r="E34" i="3"/>
  <c r="F34" i="3"/>
  <c r="G34" i="3"/>
  <c r="J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J42" i="3"/>
  <c r="E43" i="3"/>
  <c r="F43" i="3"/>
  <c r="G43" i="3"/>
  <c r="J43" i="3"/>
  <c r="E44" i="3"/>
  <c r="F44" i="3"/>
  <c r="G44" i="3"/>
  <c r="E45" i="3"/>
  <c r="F45" i="3"/>
  <c r="G45" i="3"/>
  <c r="E46" i="3"/>
  <c r="F46" i="3"/>
  <c r="G46" i="3"/>
  <c r="J46" i="3"/>
  <c r="E47" i="3"/>
  <c r="F47" i="3"/>
  <c r="G47" i="3"/>
  <c r="E50" i="3"/>
  <c r="F50" i="3"/>
  <c r="G50" i="3"/>
  <c r="E21" i="3"/>
  <c r="F21" i="3"/>
  <c r="E28" i="3"/>
  <c r="F28" i="3"/>
  <c r="E29" i="3"/>
  <c r="F29" i="3"/>
  <c r="E30" i="3"/>
  <c r="F30" i="3"/>
  <c r="E32" i="3"/>
  <c r="F32" i="3"/>
  <c r="E33" i="3"/>
  <c r="F33" i="3"/>
  <c r="Q48" i="3"/>
  <c r="Q49" i="3"/>
  <c r="C19" i="3"/>
  <c r="C18" i="3"/>
  <c r="Q23" i="3"/>
  <c r="Q21" i="3"/>
  <c r="J22" i="3"/>
  <c r="Q22" i="3"/>
  <c r="S22" i="3"/>
  <c r="T22" i="3"/>
  <c r="J24" i="3"/>
  <c r="Q24" i="3"/>
  <c r="S24" i="3"/>
  <c r="T24" i="3"/>
  <c r="J25" i="3"/>
  <c r="Q25" i="3"/>
  <c r="S25" i="3"/>
  <c r="T25" i="3"/>
  <c r="I26" i="3"/>
  <c r="Q26" i="3"/>
  <c r="S26" i="3"/>
  <c r="T26" i="3"/>
  <c r="I27" i="3"/>
  <c r="Q27" i="3"/>
  <c r="S27" i="3"/>
  <c r="T27" i="3"/>
  <c r="Q28" i="3"/>
  <c r="S28" i="3"/>
  <c r="T28" i="3"/>
  <c r="Q29" i="3"/>
  <c r="S29" i="3"/>
  <c r="T29" i="3"/>
  <c r="Q30" i="3"/>
  <c r="S30" i="3"/>
  <c r="T30" i="3"/>
  <c r="Q31" i="3"/>
  <c r="S31" i="3"/>
  <c r="T31" i="3"/>
  <c r="Q32" i="3"/>
  <c r="S32" i="3"/>
  <c r="T32" i="3"/>
  <c r="Q33" i="3"/>
  <c r="S33" i="3"/>
  <c r="T33" i="3"/>
  <c r="Q34" i="3"/>
  <c r="S34" i="3"/>
  <c r="T34" i="3"/>
  <c r="Q35" i="3"/>
  <c r="S35" i="3"/>
  <c r="T35" i="3"/>
  <c r="Q36" i="3"/>
  <c r="S36" i="3"/>
  <c r="T36" i="3"/>
  <c r="J37" i="3"/>
  <c r="Q37" i="3"/>
  <c r="S37" i="3"/>
  <c r="T37" i="3"/>
  <c r="Q38" i="3"/>
  <c r="S38" i="3"/>
  <c r="T38" i="3"/>
  <c r="J39" i="3"/>
  <c r="Q39" i="3"/>
  <c r="S39" i="3"/>
  <c r="T39" i="3"/>
  <c r="Q40" i="3"/>
  <c r="S40" i="3"/>
  <c r="T40" i="3"/>
  <c r="J41" i="3"/>
  <c r="Q41" i="3"/>
  <c r="S41" i="3"/>
  <c r="T41" i="3"/>
  <c r="Q42" i="3"/>
  <c r="S42" i="3"/>
  <c r="T42" i="3"/>
  <c r="Q43" i="3"/>
  <c r="S43" i="3"/>
  <c r="T43" i="3"/>
  <c r="Q44" i="3"/>
  <c r="S44" i="3"/>
  <c r="T44" i="3"/>
  <c r="J45" i="3"/>
  <c r="Q45" i="3"/>
  <c r="S45" i="3"/>
  <c r="T45" i="3"/>
  <c r="Q46" i="3"/>
  <c r="S46" i="3"/>
  <c r="T46" i="3"/>
  <c r="Q47" i="3"/>
  <c r="S47" i="3"/>
  <c r="T47" i="3"/>
  <c r="Q50" i="3"/>
  <c r="S50" i="3"/>
  <c r="T50" i="3"/>
  <c r="AK30" i="2"/>
  <c r="AL30" i="2"/>
  <c r="AI31" i="2"/>
  <c r="AJ31" i="2"/>
  <c r="AI30" i="2"/>
  <c r="AJ30" i="2"/>
  <c r="AG33" i="2"/>
  <c r="AH33" i="2"/>
  <c r="AG27" i="2"/>
  <c r="AH27" i="2"/>
  <c r="AG26" i="2"/>
  <c r="AH26" i="2"/>
  <c r="AE26" i="2"/>
  <c r="AF26" i="2"/>
  <c r="AE28" i="2"/>
  <c r="AF28" i="2"/>
  <c r="AC32" i="2"/>
  <c r="AD32" i="2"/>
  <c r="AA28" i="2"/>
  <c r="AB28" i="2"/>
  <c r="AA27" i="2"/>
  <c r="AB27" i="2"/>
  <c r="V28" i="2"/>
  <c r="AC6" i="2"/>
  <c r="Y27" i="2"/>
  <c r="W28" i="2"/>
  <c r="X28" i="2"/>
  <c r="W27" i="2"/>
  <c r="S24" i="2"/>
  <c r="S25" i="2"/>
  <c r="S26" i="2"/>
  <c r="S27" i="2"/>
  <c r="S28" i="2"/>
  <c r="AK26" i="2"/>
  <c r="AL26" i="2"/>
  <c r="S29" i="2"/>
  <c r="S30" i="2"/>
  <c r="AC30" i="2"/>
  <c r="AD30" i="2"/>
  <c r="S31" i="2"/>
  <c r="AK31" i="2"/>
  <c r="AL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23" i="2"/>
  <c r="C7" i="2"/>
  <c r="E21" i="2"/>
  <c r="F21" i="2"/>
  <c r="G21" i="2"/>
  <c r="E22" i="2"/>
  <c r="F22" i="2"/>
  <c r="G22" i="2"/>
  <c r="E23" i="2"/>
  <c r="F23" i="2"/>
  <c r="E24" i="2"/>
  <c r="F24" i="2"/>
  <c r="G24" i="2"/>
  <c r="E25" i="2"/>
  <c r="F25" i="2"/>
  <c r="G25" i="2"/>
  <c r="E26" i="2"/>
  <c r="F26" i="2"/>
  <c r="G26" i="2"/>
  <c r="I26" i="2"/>
  <c r="E27" i="2"/>
  <c r="F27" i="2"/>
  <c r="G27" i="2"/>
  <c r="I27" i="2"/>
  <c r="E28" i="2"/>
  <c r="F28" i="2"/>
  <c r="G28" i="2"/>
  <c r="I28" i="2"/>
  <c r="E29" i="2"/>
  <c r="F29" i="2"/>
  <c r="G29" i="2"/>
  <c r="I29" i="2"/>
  <c r="E30" i="2"/>
  <c r="F30" i="2"/>
  <c r="G30" i="2"/>
  <c r="E31" i="2"/>
  <c r="F31" i="2"/>
  <c r="G31" i="2"/>
  <c r="I31" i="2"/>
  <c r="E32" i="2"/>
  <c r="F32" i="2"/>
  <c r="G32" i="2"/>
  <c r="E33" i="2"/>
  <c r="F33" i="2"/>
  <c r="G33" i="2"/>
  <c r="E34" i="2"/>
  <c r="F34" i="2"/>
  <c r="G34" i="2"/>
  <c r="E35" i="2"/>
  <c r="F35" i="2"/>
  <c r="G35" i="2"/>
  <c r="J35" i="2"/>
  <c r="E36" i="2"/>
  <c r="F36" i="2"/>
  <c r="G36" i="2"/>
  <c r="E37" i="2"/>
  <c r="F37" i="2"/>
  <c r="G37" i="2"/>
  <c r="E38" i="2"/>
  <c r="F38" i="2"/>
  <c r="G38" i="2"/>
  <c r="E39" i="2"/>
  <c r="F39" i="2"/>
  <c r="G39" i="2"/>
  <c r="J39" i="2"/>
  <c r="E40" i="2"/>
  <c r="F40" i="2"/>
  <c r="G40" i="2"/>
  <c r="E41" i="2"/>
  <c r="F41" i="2"/>
  <c r="G41" i="2"/>
  <c r="E42" i="2"/>
  <c r="F42" i="2"/>
  <c r="G42" i="2"/>
  <c r="J42" i="2"/>
  <c r="E43" i="2"/>
  <c r="F43" i="2"/>
  <c r="G43" i="2"/>
  <c r="J43" i="2"/>
  <c r="E44" i="2"/>
  <c r="F44" i="2"/>
  <c r="G44" i="2"/>
  <c r="J44" i="2"/>
  <c r="E45" i="2"/>
  <c r="F45" i="2"/>
  <c r="G45" i="2"/>
  <c r="E46" i="2"/>
  <c r="F46" i="2"/>
  <c r="G46" i="2"/>
  <c r="E47" i="2"/>
  <c r="F47" i="2"/>
  <c r="G47" i="2"/>
  <c r="J47" i="2"/>
  <c r="E48" i="2"/>
  <c r="F48" i="2"/>
  <c r="G48" i="2"/>
  <c r="C18" i="2"/>
  <c r="H21" i="2"/>
  <c r="Q21" i="2"/>
  <c r="J22" i="2"/>
  <c r="Q22" i="2"/>
  <c r="Q23" i="2"/>
  <c r="T23" i="2"/>
  <c r="J24" i="2"/>
  <c r="Q24" i="2"/>
  <c r="T24" i="2"/>
  <c r="J25" i="2"/>
  <c r="Q25" i="2"/>
  <c r="T25" i="2"/>
  <c r="Q26" i="2"/>
  <c r="T26" i="2"/>
  <c r="Q27" i="2"/>
  <c r="T27" i="2"/>
  <c r="Q28" i="2"/>
  <c r="T28" i="2"/>
  <c r="Q29" i="2"/>
  <c r="T29" i="2"/>
  <c r="I30" i="2"/>
  <c r="Q30" i="2"/>
  <c r="T30" i="2"/>
  <c r="Q31" i="2"/>
  <c r="T31" i="2"/>
  <c r="I32" i="2"/>
  <c r="Q32" i="2"/>
  <c r="T32" i="2"/>
  <c r="J33" i="2"/>
  <c r="Q33" i="2"/>
  <c r="T33" i="2"/>
  <c r="J34" i="2"/>
  <c r="Q34" i="2"/>
  <c r="T34" i="2"/>
  <c r="Q35" i="2"/>
  <c r="T35" i="2"/>
  <c r="Q36" i="2"/>
  <c r="T36" i="2"/>
  <c r="J37" i="2"/>
  <c r="Q37" i="2"/>
  <c r="T37" i="2"/>
  <c r="J38" i="2"/>
  <c r="Q38" i="2"/>
  <c r="T38" i="2"/>
  <c r="Q39" i="2"/>
  <c r="T39" i="2"/>
  <c r="J40" i="2"/>
  <c r="Q40" i="2"/>
  <c r="T40" i="2"/>
  <c r="J41" i="2"/>
  <c r="Q41" i="2"/>
  <c r="T41" i="2"/>
  <c r="Q42" i="2"/>
  <c r="T42" i="2"/>
  <c r="Q43" i="2"/>
  <c r="T43" i="2"/>
  <c r="Q44" i="2"/>
  <c r="T44" i="2"/>
  <c r="Q45" i="2"/>
  <c r="T45" i="2"/>
  <c r="J46" i="2"/>
  <c r="Q46" i="2"/>
  <c r="T46" i="2"/>
  <c r="Q47" i="2"/>
  <c r="T47" i="2"/>
  <c r="Q48" i="2"/>
  <c r="T48" i="2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23" i="1"/>
  <c r="E48" i="1"/>
  <c r="F48" i="1"/>
  <c r="Q48" i="1"/>
  <c r="E24" i="1"/>
  <c r="F24" i="1"/>
  <c r="E34" i="1"/>
  <c r="F34" i="1"/>
  <c r="E36" i="1"/>
  <c r="F36" i="1"/>
  <c r="G36" i="1"/>
  <c r="E39" i="1"/>
  <c r="F39" i="1"/>
  <c r="E43" i="1"/>
  <c r="F43" i="1"/>
  <c r="E46" i="1"/>
  <c r="F46" i="1"/>
  <c r="G46" i="1"/>
  <c r="J46" i="1"/>
  <c r="E26" i="1"/>
  <c r="F26" i="1"/>
  <c r="E28" i="1"/>
  <c r="F28" i="1"/>
  <c r="E30" i="1"/>
  <c r="F30" i="1"/>
  <c r="G30" i="1"/>
  <c r="E33" i="1"/>
  <c r="F33" i="1"/>
  <c r="Q22" i="1"/>
  <c r="Q23" i="1"/>
  <c r="Q24" i="1"/>
  <c r="Q25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26" i="1"/>
  <c r="Q27" i="1"/>
  <c r="Q28" i="1"/>
  <c r="Q29" i="1"/>
  <c r="Q30" i="1"/>
  <c r="Q31" i="1"/>
  <c r="Q32" i="1"/>
  <c r="Q33" i="1"/>
  <c r="C7" i="1"/>
  <c r="G24" i="1"/>
  <c r="C8" i="1"/>
  <c r="E22" i="1"/>
  <c r="F22" i="1"/>
  <c r="C18" i="1"/>
  <c r="Q21" i="1"/>
  <c r="J36" i="2"/>
  <c r="J24" i="1"/>
  <c r="J45" i="2"/>
  <c r="J36" i="1"/>
  <c r="J48" i="2"/>
  <c r="I30" i="1"/>
  <c r="E29" i="1"/>
  <c r="F29" i="1"/>
  <c r="E44" i="1"/>
  <c r="F44" i="1"/>
  <c r="G44" i="1"/>
  <c r="J42" i="4"/>
  <c r="E32" i="1"/>
  <c r="F32" i="1"/>
  <c r="G32" i="1"/>
  <c r="G28" i="1"/>
  <c r="E47" i="1"/>
  <c r="F47" i="1"/>
  <c r="G47" i="1"/>
  <c r="E40" i="1"/>
  <c r="F40" i="1"/>
  <c r="G40" i="1"/>
  <c r="AK32" i="2"/>
  <c r="AL32" i="2"/>
  <c r="AE32" i="2"/>
  <c r="AF32" i="2"/>
  <c r="AI32" i="2"/>
  <c r="AJ32" i="2"/>
  <c r="AC31" i="2"/>
  <c r="AD31" i="2"/>
  <c r="I31" i="3"/>
  <c r="X27" i="2"/>
  <c r="X16" i="2"/>
  <c r="J38" i="3"/>
  <c r="E42" i="1"/>
  <c r="F42" i="1"/>
  <c r="G42" i="1"/>
  <c r="E35" i="1"/>
  <c r="F35" i="1"/>
  <c r="C11" i="3"/>
  <c r="H23" i="3"/>
  <c r="AK29" i="2"/>
  <c r="AL29" i="2"/>
  <c r="AC29" i="2"/>
  <c r="AD29" i="2"/>
  <c r="AG29" i="2"/>
  <c r="AH29" i="2"/>
  <c r="AI29" i="2"/>
  <c r="AJ29" i="2"/>
  <c r="W29" i="2"/>
  <c r="X29" i="2"/>
  <c r="AE29" i="2"/>
  <c r="AF29" i="2"/>
  <c r="Y29" i="2"/>
  <c r="Z29" i="2"/>
  <c r="U29" i="2"/>
  <c r="AA29" i="2"/>
  <c r="AB29" i="2"/>
  <c r="Z27" i="2"/>
  <c r="Z16" i="2"/>
  <c r="G48" i="1"/>
  <c r="G22" i="1"/>
  <c r="E25" i="1"/>
  <c r="F25" i="1"/>
  <c r="G25" i="1"/>
  <c r="G35" i="1"/>
  <c r="E41" i="1"/>
  <c r="F41" i="1"/>
  <c r="G41" i="1"/>
  <c r="G43" i="1"/>
  <c r="E27" i="1"/>
  <c r="F27" i="1"/>
  <c r="G27" i="1"/>
  <c r="G29" i="1"/>
  <c r="G23" i="1"/>
  <c r="E37" i="1"/>
  <c r="F37" i="1"/>
  <c r="G37" i="1"/>
  <c r="G39" i="1"/>
  <c r="E45" i="1"/>
  <c r="F45" i="1"/>
  <c r="G45" i="1"/>
  <c r="E31" i="1"/>
  <c r="F31" i="1"/>
  <c r="G31" i="1"/>
  <c r="G33" i="1"/>
  <c r="E21" i="1"/>
  <c r="F21" i="1"/>
  <c r="G21" i="1"/>
  <c r="G26" i="1"/>
  <c r="E38" i="1"/>
  <c r="F38" i="1"/>
  <c r="G38" i="1"/>
  <c r="G34" i="1"/>
  <c r="E23" i="1"/>
  <c r="F23" i="1"/>
  <c r="AI28" i="2"/>
  <c r="AJ28" i="2"/>
  <c r="AK28" i="2"/>
  <c r="AL28" i="2"/>
  <c r="AC28" i="2"/>
  <c r="AD28" i="2"/>
  <c r="AC27" i="2"/>
  <c r="AK34" i="2"/>
  <c r="AL34" i="2"/>
  <c r="AK27" i="2"/>
  <c r="AL27" i="2"/>
  <c r="AI26" i="2"/>
  <c r="AI34" i="2"/>
  <c r="AJ34" i="2"/>
  <c r="AG28" i="2"/>
  <c r="AH28" i="2"/>
  <c r="Y28" i="2"/>
  <c r="Z28" i="2"/>
  <c r="AA31" i="2"/>
  <c r="AB31" i="2"/>
  <c r="AE27" i="2"/>
  <c r="AF27" i="2"/>
  <c r="AG32" i="2"/>
  <c r="AH32" i="2"/>
  <c r="J47" i="3"/>
  <c r="J35" i="3"/>
  <c r="J45" i="4"/>
  <c r="J24" i="4"/>
  <c r="AK33" i="2"/>
  <c r="AL33" i="2"/>
  <c r="AI33" i="2"/>
  <c r="AJ33" i="2"/>
  <c r="AI27" i="2"/>
  <c r="AJ27" i="2"/>
  <c r="AA30" i="2"/>
  <c r="AB30" i="2"/>
  <c r="AG31" i="2"/>
  <c r="AH31" i="2"/>
  <c r="I26" i="4"/>
  <c r="C11" i="4"/>
  <c r="C12" i="4"/>
  <c r="C16" i="4"/>
  <c r="D18" i="4"/>
  <c r="I22" i="4"/>
  <c r="J49" i="4"/>
  <c r="J35" i="4"/>
  <c r="K46" i="5"/>
  <c r="J39" i="4"/>
  <c r="AE31" i="2"/>
  <c r="AF31" i="2"/>
  <c r="J36" i="3"/>
  <c r="J43" i="4"/>
  <c r="I25" i="4"/>
  <c r="AG30" i="2"/>
  <c r="AH30" i="2"/>
  <c r="AE30" i="2"/>
  <c r="AF30" i="2"/>
  <c r="Y30" i="2"/>
  <c r="Z30" i="2"/>
  <c r="C12" i="3"/>
  <c r="C16" i="3"/>
  <c r="D18" i="3"/>
  <c r="J40" i="3"/>
  <c r="J34" i="4"/>
  <c r="K38" i="5"/>
  <c r="J50" i="3"/>
  <c r="J44" i="3"/>
  <c r="J33" i="4"/>
  <c r="K23" i="5"/>
  <c r="J37" i="4"/>
  <c r="I23" i="4"/>
  <c r="J41" i="4"/>
  <c r="I30" i="4"/>
  <c r="G23" i="2"/>
  <c r="J41" i="1"/>
  <c r="J47" i="1"/>
  <c r="AJ26" i="2"/>
  <c r="AJ16" i="2"/>
  <c r="I31" i="1"/>
  <c r="J43" i="1"/>
  <c r="AB16" i="2"/>
  <c r="O21" i="4"/>
  <c r="R21" i="4"/>
  <c r="O24" i="4"/>
  <c r="R24" i="4"/>
  <c r="O28" i="4"/>
  <c r="R28" i="4"/>
  <c r="O32" i="4"/>
  <c r="R32" i="4"/>
  <c r="O36" i="4"/>
  <c r="R36" i="4"/>
  <c r="O40" i="4"/>
  <c r="R40" i="4"/>
  <c r="O44" i="4"/>
  <c r="R44" i="4"/>
  <c r="O51" i="4"/>
  <c r="O26" i="4"/>
  <c r="R26" i="4"/>
  <c r="O30" i="4"/>
  <c r="R30" i="4"/>
  <c r="O34" i="4"/>
  <c r="R34" i="4"/>
  <c r="O38" i="4"/>
  <c r="R38" i="4"/>
  <c r="O42" i="4"/>
  <c r="R42" i="4"/>
  <c r="O46" i="4"/>
  <c r="R46" i="4"/>
  <c r="C15" i="4"/>
  <c r="C18" i="4"/>
  <c r="O49" i="4"/>
  <c r="R49" i="4"/>
  <c r="O23" i="4"/>
  <c r="R23" i="4"/>
  <c r="O27" i="4"/>
  <c r="R27" i="4"/>
  <c r="O31" i="4"/>
  <c r="R31" i="4"/>
  <c r="O35" i="4"/>
  <c r="R35" i="4"/>
  <c r="O39" i="4"/>
  <c r="R39" i="4"/>
  <c r="O43" i="4"/>
  <c r="R43" i="4"/>
  <c r="O22" i="4"/>
  <c r="R22" i="4"/>
  <c r="O47" i="4"/>
  <c r="O37" i="4"/>
  <c r="R37" i="4"/>
  <c r="O25" i="4"/>
  <c r="R25" i="4"/>
  <c r="O41" i="4"/>
  <c r="R41" i="4"/>
  <c r="O50" i="4"/>
  <c r="O48" i="4"/>
  <c r="O29" i="4"/>
  <c r="R29" i="4"/>
  <c r="O45" i="4"/>
  <c r="R45" i="4"/>
  <c r="O33" i="4"/>
  <c r="R33" i="4"/>
  <c r="V29" i="2"/>
  <c r="V16" i="2"/>
  <c r="W16" i="2"/>
  <c r="Y16" i="2"/>
  <c r="AA16" i="2"/>
  <c r="O48" i="3"/>
  <c r="O22" i="3"/>
  <c r="R22" i="3"/>
  <c r="O27" i="3"/>
  <c r="R27" i="3"/>
  <c r="O31" i="3"/>
  <c r="R31" i="3"/>
  <c r="O35" i="3"/>
  <c r="R35" i="3"/>
  <c r="O39" i="3"/>
  <c r="R39" i="3"/>
  <c r="O43" i="3"/>
  <c r="R43" i="3"/>
  <c r="O47" i="3"/>
  <c r="R47" i="3"/>
  <c r="O49" i="3"/>
  <c r="O23" i="3"/>
  <c r="O25" i="3"/>
  <c r="R25" i="3"/>
  <c r="O29" i="3"/>
  <c r="R29" i="3"/>
  <c r="O33" i="3"/>
  <c r="R33" i="3"/>
  <c r="O37" i="3"/>
  <c r="R37" i="3"/>
  <c r="O41" i="3"/>
  <c r="R41" i="3"/>
  <c r="O45" i="3"/>
  <c r="R45" i="3"/>
  <c r="O26" i="3"/>
  <c r="R26" i="3"/>
  <c r="O34" i="3"/>
  <c r="R34" i="3"/>
  <c r="O42" i="3"/>
  <c r="R42" i="3"/>
  <c r="O28" i="3"/>
  <c r="R28" i="3"/>
  <c r="O36" i="3"/>
  <c r="R36" i="3"/>
  <c r="O44" i="3"/>
  <c r="R44" i="3"/>
  <c r="O21" i="3"/>
  <c r="R21" i="3"/>
  <c r="O30" i="3"/>
  <c r="R30" i="3"/>
  <c r="O38" i="3"/>
  <c r="R38" i="3"/>
  <c r="O46" i="3"/>
  <c r="R46" i="3"/>
  <c r="O24" i="3"/>
  <c r="R24" i="3"/>
  <c r="O32" i="3"/>
  <c r="R32" i="3"/>
  <c r="O40" i="3"/>
  <c r="R40" i="3"/>
  <c r="O50" i="3"/>
  <c r="R50" i="3"/>
  <c r="J23" i="2"/>
  <c r="C12" i="2"/>
  <c r="C16" i="2"/>
  <c r="D18" i="2"/>
  <c r="J34" i="1"/>
  <c r="J44" i="1"/>
  <c r="AD27" i="2"/>
  <c r="AD16" i="2"/>
  <c r="J38" i="1"/>
  <c r="J39" i="1"/>
  <c r="J25" i="1"/>
  <c r="J37" i="1"/>
  <c r="J22" i="1"/>
  <c r="AH16" i="2"/>
  <c r="I28" i="1"/>
  <c r="J45" i="1"/>
  <c r="J35" i="1"/>
  <c r="J40" i="1"/>
  <c r="I26" i="1"/>
  <c r="J23" i="1"/>
  <c r="J48" i="1"/>
  <c r="I32" i="1"/>
  <c r="H21" i="1"/>
  <c r="C11" i="1"/>
  <c r="C12" i="1"/>
  <c r="C16" i="1"/>
  <c r="D18" i="1"/>
  <c r="I29" i="1"/>
  <c r="J42" i="1"/>
  <c r="AF16" i="2"/>
  <c r="C11" i="2"/>
  <c r="J33" i="1"/>
  <c r="I27" i="1"/>
  <c r="O21" i="2"/>
  <c r="O25" i="2"/>
  <c r="R25" i="2"/>
  <c r="O29" i="2"/>
  <c r="R29" i="2"/>
  <c r="O33" i="2"/>
  <c r="R33" i="2"/>
  <c r="O43" i="2"/>
  <c r="R43" i="2"/>
  <c r="O26" i="2"/>
  <c r="R26" i="2"/>
  <c r="O32" i="2"/>
  <c r="R32" i="2"/>
  <c r="O38" i="2"/>
  <c r="R38" i="2"/>
  <c r="O27" i="2"/>
  <c r="R27" i="2"/>
  <c r="O39" i="2"/>
  <c r="R39" i="2"/>
  <c r="O44" i="2"/>
  <c r="R44" i="2"/>
  <c r="O34" i="2"/>
  <c r="R34" i="2"/>
  <c r="O45" i="2"/>
  <c r="R45" i="2"/>
  <c r="O22" i="2"/>
  <c r="R22" i="2"/>
  <c r="O28" i="2"/>
  <c r="R28" i="2"/>
  <c r="O35" i="2"/>
  <c r="R35" i="2"/>
  <c r="O40" i="2"/>
  <c r="R40" i="2"/>
  <c r="O23" i="2"/>
  <c r="R23" i="2"/>
  <c r="O41" i="2"/>
  <c r="R41" i="2"/>
  <c r="O46" i="2"/>
  <c r="R46" i="2"/>
  <c r="O30" i="2"/>
  <c r="R30" i="2"/>
  <c r="O36" i="2"/>
  <c r="R36" i="2"/>
  <c r="O47" i="2"/>
  <c r="R47" i="2"/>
  <c r="O24" i="2"/>
  <c r="R24" i="2"/>
  <c r="O31" i="2"/>
  <c r="R31" i="2"/>
  <c r="O37" i="2"/>
  <c r="R37" i="2"/>
  <c r="O42" i="2"/>
  <c r="R42" i="2"/>
  <c r="O48" i="2"/>
  <c r="R48" i="2"/>
  <c r="R15" i="3"/>
  <c r="R17" i="3"/>
  <c r="R16" i="3"/>
  <c r="AC16" i="2"/>
  <c r="AE16" i="2"/>
  <c r="AG16" i="2"/>
  <c r="AI16" i="2"/>
  <c r="O23" i="1"/>
  <c r="R23" i="1"/>
  <c r="O39" i="1"/>
  <c r="R39" i="1"/>
  <c r="O47" i="1"/>
  <c r="R47" i="1"/>
  <c r="O33" i="1"/>
  <c r="R33" i="1"/>
  <c r="O48" i="1"/>
  <c r="R48" i="1"/>
  <c r="O35" i="1"/>
  <c r="R35" i="1"/>
  <c r="O43" i="1"/>
  <c r="R43" i="1"/>
  <c r="O29" i="1"/>
  <c r="R29" i="1"/>
  <c r="O36" i="1"/>
  <c r="R36" i="1"/>
  <c r="O42" i="1"/>
  <c r="R42" i="1"/>
  <c r="O30" i="1"/>
  <c r="R30" i="1"/>
  <c r="O28" i="1"/>
  <c r="R28" i="1"/>
  <c r="O22" i="1"/>
  <c r="R22" i="1"/>
  <c r="O25" i="1"/>
  <c r="R25" i="1"/>
  <c r="O46" i="1"/>
  <c r="R46" i="1"/>
  <c r="O27" i="1"/>
  <c r="R27" i="1"/>
  <c r="O40" i="1"/>
  <c r="R40" i="1"/>
  <c r="O34" i="1"/>
  <c r="R34" i="1"/>
  <c r="O37" i="1"/>
  <c r="R37" i="1"/>
  <c r="O31" i="1"/>
  <c r="R31" i="1"/>
  <c r="O44" i="1"/>
  <c r="R44" i="1"/>
  <c r="O38" i="1"/>
  <c r="R38" i="1"/>
  <c r="O41" i="1"/>
  <c r="R41" i="1"/>
  <c r="O32" i="1"/>
  <c r="R32" i="1"/>
  <c r="O21" i="1"/>
  <c r="O24" i="1"/>
  <c r="R24" i="1"/>
  <c r="O26" i="1"/>
  <c r="R26" i="1"/>
  <c r="O45" i="1"/>
  <c r="R45" i="1"/>
  <c r="R15" i="2"/>
  <c r="R16" i="2"/>
  <c r="R16" i="1"/>
  <c r="R15" i="1"/>
  <c r="R17" i="1"/>
  <c r="R17" i="2"/>
  <c r="C11" i="5"/>
  <c r="C12" i="5"/>
  <c r="E11" i="6" l="1"/>
  <c r="E27" i="6"/>
  <c r="E35" i="6"/>
  <c r="E44" i="6"/>
  <c r="C16" i="5"/>
  <c r="D18" i="5" s="1"/>
  <c r="O24" i="5"/>
  <c r="R24" i="5" s="1"/>
  <c r="O27" i="5"/>
  <c r="R27" i="5" s="1"/>
  <c r="O37" i="5"/>
  <c r="R37" i="5" s="1"/>
  <c r="O53" i="5"/>
  <c r="R53" i="5" s="1"/>
  <c r="O21" i="5"/>
  <c r="R21" i="5" s="1"/>
  <c r="O39" i="5"/>
  <c r="R39" i="5" s="1"/>
  <c r="O29" i="5"/>
  <c r="R29" i="5" s="1"/>
  <c r="O30" i="5"/>
  <c r="R30" i="5" s="1"/>
  <c r="O33" i="5"/>
  <c r="R33" i="5" s="1"/>
  <c r="O55" i="5"/>
  <c r="R55" i="5" s="1"/>
  <c r="O32" i="5"/>
  <c r="R32" i="5" s="1"/>
  <c r="O36" i="5"/>
  <c r="R36" i="5" s="1"/>
  <c r="O23" i="5"/>
  <c r="R23" i="5" s="1"/>
  <c r="O35" i="5"/>
  <c r="R35" i="5" s="1"/>
  <c r="O50" i="5"/>
  <c r="R50" i="5" s="1"/>
  <c r="O57" i="5"/>
  <c r="R57" i="5" s="1"/>
  <c r="O56" i="5"/>
  <c r="R56" i="5" s="1"/>
  <c r="C15" i="5"/>
  <c r="O48" i="5"/>
  <c r="R48" i="5" s="1"/>
  <c r="O38" i="5"/>
  <c r="R38" i="5" s="1"/>
  <c r="O22" i="5"/>
  <c r="R22" i="5" s="1"/>
  <c r="O42" i="5"/>
  <c r="R42" i="5" s="1"/>
  <c r="O49" i="5"/>
  <c r="R49" i="5" s="1"/>
  <c r="O54" i="5"/>
  <c r="R54" i="5" s="1"/>
  <c r="O41" i="5"/>
  <c r="R41" i="5" s="1"/>
  <c r="O28" i="5"/>
  <c r="R28" i="5" s="1"/>
  <c r="O45" i="5"/>
  <c r="R45" i="5" s="1"/>
  <c r="O34" i="5"/>
  <c r="R34" i="5" s="1"/>
  <c r="O43" i="5"/>
  <c r="R43" i="5" s="1"/>
  <c r="O47" i="5"/>
  <c r="R47" i="5" s="1"/>
  <c r="O25" i="5"/>
  <c r="R25" i="5" s="1"/>
  <c r="O46" i="5"/>
  <c r="R46" i="5" s="1"/>
  <c r="O26" i="5"/>
  <c r="R26" i="5" s="1"/>
  <c r="O40" i="5"/>
  <c r="R40" i="5" s="1"/>
  <c r="O51" i="5"/>
  <c r="R51" i="5" s="1"/>
  <c r="O44" i="5"/>
  <c r="R44" i="5" s="1"/>
  <c r="O52" i="5"/>
  <c r="R52" i="5" s="1"/>
  <c r="O31" i="5"/>
  <c r="R31" i="5" s="1"/>
  <c r="C18" i="5" l="1"/>
  <c r="F18" i="5"/>
  <c r="F19" i="5" s="1"/>
</calcChain>
</file>

<file path=xl/sharedStrings.xml><?xml version="1.0" encoding="utf-8"?>
<sst xmlns="http://schemas.openxmlformats.org/spreadsheetml/2006/main" count="695" uniqueCount="218">
  <si>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</si>
  <si>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</si>
  <si>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</si>
  <si>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</si>
  <si>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</si>
  <si>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</si>
  <si>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</si>
  <si>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</si>
  <si>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</si>
  <si>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</si>
  <si>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</si>
  <si>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</si>
  <si>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</si>
  <si>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</si>
  <si>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</si>
  <si>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</si>
  <si>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</si>
  <si>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</si>
  <si>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</si>
  <si>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</si>
  <si>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</si>
  <si>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</si>
  <si>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</si>
  <si>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</si>
  <si>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</si>
  <si>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</si>
  <si>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</si>
  <si>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</si>
  <si>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</si>
  <si>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</si>
  <si>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V1036 Cyg</t>
  </si>
  <si>
    <t>Peter H</t>
  </si>
  <si>
    <t>BBSAG Bull.102</t>
  </si>
  <si>
    <t>B</t>
  </si>
  <si>
    <t>BBSAG Bull.104</t>
  </si>
  <si>
    <t>BBSAG Bull.105</t>
  </si>
  <si>
    <t>Romano</t>
  </si>
  <si>
    <t>Moschner</t>
  </si>
  <si>
    <t>Frank/Moschner</t>
  </si>
  <si>
    <t>Agerer</t>
  </si>
  <si>
    <t>ccd</t>
  </si>
  <si>
    <t>pg</t>
  </si>
  <si>
    <t>IBVS 5204</t>
  </si>
  <si>
    <t>IBVS</t>
  </si>
  <si>
    <t>BBSAG</t>
  </si>
  <si>
    <t>Weird relation</t>
  </si>
  <si>
    <t>Is the period correct?</t>
  </si>
  <si>
    <t>IBVS 5543</t>
  </si>
  <si>
    <t>I</t>
  </si>
  <si>
    <t>New period</t>
  </si>
  <si>
    <t>from IBVS</t>
  </si>
  <si>
    <t>WRONG</t>
  </si>
  <si>
    <t>See page C</t>
  </si>
  <si>
    <t>This period is wrong (see IBVS 5204)</t>
  </si>
  <si>
    <t xml:space="preserve">Wrong period </t>
  </si>
  <si>
    <t>E</t>
  </si>
  <si>
    <t>IBVS 5643</t>
  </si>
  <si>
    <t>II</t>
  </si>
  <si>
    <t>IBVS 5204 (GCVS 4)</t>
  </si>
  <si>
    <t>EA</t>
  </si>
  <si>
    <t>This fits</t>
  </si>
  <si>
    <t>See page D</t>
  </si>
  <si>
    <t># of data points:</t>
  </si>
  <si>
    <t>IBVS 5713</t>
  </si>
  <si>
    <t>V1036 Cyg / gsc 3154-1855</t>
  </si>
  <si>
    <t>RHN 2008</t>
  </si>
  <si>
    <t>Nelson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</si>
  <si>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</si>
  <si>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</si>
  <si>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</si>
  <si>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</si>
  <si>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</si>
  <si>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</si>
  <si>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5875</t>
  </si>
  <si>
    <t>OEJV 0074</t>
  </si>
  <si>
    <t>CCD</t>
  </si>
  <si>
    <t>Minima from the Lichtenknecker Database of the BAV</t>
  </si>
  <si>
    <t>C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</si>
  <si>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</si>
  <si>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</si>
  <si>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</si>
  <si>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</si>
  <si>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</si>
  <si>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</si>
  <si>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</si>
  <si>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2433894.440 </t>
  </si>
  <si>
    <t> 04.09.1951 22:33 </t>
  </si>
  <si>
    <t> 0.026 </t>
  </si>
  <si>
    <t>P </t>
  </si>
  <si>
    <t> G.Romano </t>
  </si>
  <si>
    <t> MSAI 40.399 </t>
  </si>
  <si>
    <t>2436808.374 </t>
  </si>
  <si>
    <t> 27.08.1959 20:58 </t>
  </si>
  <si>
    <t> -0.014 </t>
  </si>
  <si>
    <t>2437189.377 </t>
  </si>
  <si>
    <t> 11.09.1960 21:02 </t>
  </si>
  <si>
    <t> 0.000 </t>
  </si>
  <si>
    <t>2445646.240 </t>
  </si>
  <si>
    <t> 07.11.1983 17:45 </t>
  </si>
  <si>
    <t> -0.061 </t>
  </si>
  <si>
    <t> W.Moschner </t>
  </si>
  <si>
    <t>BAVM 141 </t>
  </si>
  <si>
    <t>2448830.413 </t>
  </si>
  <si>
    <t> 26.07.1992 21:54 </t>
  </si>
  <si>
    <t> 0.023 </t>
  </si>
  <si>
    <t>V </t>
  </si>
  <si>
    <t> H.Peter </t>
  </si>
  <si>
    <t> BBS 102 </t>
  </si>
  <si>
    <t>2448862.404 </t>
  </si>
  <si>
    <t> 27.08.1992 21:41 </t>
  </si>
  <si>
    <t> 0.017 </t>
  </si>
  <si>
    <t>2448868.386 </t>
  </si>
  <si>
    <t> 02.09.1992 21:15 </t>
  </si>
  <si>
    <t> 0.046 </t>
  </si>
  <si>
    <t>2448871.356 </t>
  </si>
  <si>
    <t> 05.09.1992 20:32 </t>
  </si>
  <si>
    <t> 0.039 </t>
  </si>
  <si>
    <t>2449176.482 </t>
  </si>
  <si>
    <t> 07.07.1993 23:34 </t>
  </si>
  <si>
    <t> 0.076 </t>
  </si>
  <si>
    <t> BBS 104 </t>
  </si>
  <si>
    <t>2449211.402 </t>
  </si>
  <si>
    <t> 11.08.1993 21:38 </t>
  </si>
  <si>
    <t> 0.022 </t>
  </si>
  <si>
    <t> BBS 105 </t>
  </si>
  <si>
    <t>2449217.370 </t>
  </si>
  <si>
    <t> 17.08.1993 20:52 </t>
  </si>
  <si>
    <t> 0.037 </t>
  </si>
  <si>
    <t>2449249.382 </t>
  </si>
  <si>
    <t> 18.09.1993 21:10 </t>
  </si>
  <si>
    <t> 0.052 </t>
  </si>
  <si>
    <t>2450304.3939 </t>
  </si>
  <si>
    <t> 08.08.1996 21:27 </t>
  </si>
  <si>
    <t> -0.0981 </t>
  </si>
  <si>
    <t>E </t>
  </si>
  <si>
    <t>o</t>
  </si>
  <si>
    <t> Frank&amp;Moschner </t>
  </si>
  <si>
    <t>2450315.5124 </t>
  </si>
  <si>
    <t> 20.08.1996 00:17 </t>
  </si>
  <si>
    <t> -0.1414 </t>
  </si>
  <si>
    <t>2450361.3948 </t>
  </si>
  <si>
    <t> 04.10.1996 21:28 </t>
  </si>
  <si>
    <t> -0.0224 </t>
  </si>
  <si>
    <t>2450396.1937 </t>
  </si>
  <si>
    <t> 08.11.1996 16:38 </t>
  </si>
  <si>
    <t> 0.1749 </t>
  </si>
  <si>
    <t>2450582.4853 </t>
  </si>
  <si>
    <t> 13.05.1997 23:38 </t>
  </si>
  <si>
    <t> 0.0645 </t>
  </si>
  <si>
    <t>2450671.4780 </t>
  </si>
  <si>
    <t> 10.08.1997 23:28 </t>
  </si>
  <si>
    <t> 0.1348 </t>
  </si>
  <si>
    <t>2450696.5038 </t>
  </si>
  <si>
    <t> 05.09.1997 00:05 </t>
  </si>
  <si>
    <t> 0.2326 </t>
  </si>
  <si>
    <t>2450717.3661 </t>
  </si>
  <si>
    <t> 25.09.1997 20:47 </t>
  </si>
  <si>
    <t> 0.2596 </t>
  </si>
  <si>
    <t>2450749.3455 </t>
  </si>
  <si>
    <t> 27.10.1997 20:17 </t>
  </si>
  <si>
    <t> 0.2418 </t>
  </si>
  <si>
    <t>2451045.5157 </t>
  </si>
  <si>
    <t> 20.08.1998 00:22 </t>
  </si>
  <si>
    <t> 0.2522 </t>
  </si>
  <si>
    <t>2451045.5187 </t>
  </si>
  <si>
    <t> 20.08.1998 00:26 </t>
  </si>
  <si>
    <t> 0.2552 </t>
  </si>
  <si>
    <t> F.Agerer </t>
  </si>
  <si>
    <t>2451376.4540 </t>
  </si>
  <si>
    <t> 16.07.1999 22:53 </t>
  </si>
  <si>
    <t> 0.4292 </t>
  </si>
  <si>
    <t>2451426.5061 </t>
  </si>
  <si>
    <t> 05.09.1999 00:08 </t>
  </si>
  <si>
    <t> 0.2532 </t>
  </si>
  <si>
    <t>2451433.4610 </t>
  </si>
  <si>
    <t> 11.09.1999 23:03 </t>
  </si>
  <si>
    <t> 0.1390 </t>
  </si>
  <si>
    <t>2452487.44740 </t>
  </si>
  <si>
    <t> 31.07.2002 22:44 </t>
  </si>
  <si>
    <t> 0.07938 </t>
  </si>
  <si>
    <t>C </t>
  </si>
  <si>
    <t> P.Hájek </t>
  </si>
  <si>
    <t>OEJV 0074 </t>
  </si>
  <si>
    <t>2452694.6233 </t>
  </si>
  <si>
    <t> 24.02.2003 02:57 </t>
  </si>
  <si>
    <t> 0.0179 </t>
  </si>
  <si>
    <t> Moschner&amp;Frank </t>
  </si>
  <si>
    <t>BAVM 172 </t>
  </si>
  <si>
    <t>2452804.4760 </t>
  </si>
  <si>
    <t> 13.06.2003 23:25 </t>
  </si>
  <si>
    <t> 0.1129 </t>
  </si>
  <si>
    <t>2452907.371 </t>
  </si>
  <si>
    <t> 24.09.2003 20:54 </t>
  </si>
  <si>
    <t> -0.053 </t>
  </si>
  <si>
    <t> J.Vandenbroere </t>
  </si>
  <si>
    <t> BBS 130 </t>
  </si>
  <si>
    <t>2453566.4634 </t>
  </si>
  <si>
    <t> 14.07.2005 23:07 </t>
  </si>
  <si>
    <t> 0.1214 </t>
  </si>
  <si>
    <t>?</t>
  </si>
  <si>
    <t> R. Diethelm </t>
  </si>
  <si>
    <t>IBVS 5713 </t>
  </si>
  <si>
    <t>2454720.555 </t>
  </si>
  <si>
    <t> 11.09.2008 01:19 </t>
  </si>
  <si>
    <t> 0.083 </t>
  </si>
  <si>
    <t> U.Schmidt </t>
  </si>
  <si>
    <t>BAVM 203 </t>
  </si>
  <si>
    <t>2455304.5632 </t>
  </si>
  <si>
    <t> 18.04.2010 01:31 </t>
  </si>
  <si>
    <t> -0.0431 </t>
  </si>
  <si>
    <t> W.Moschner &amp; P.Frank </t>
  </si>
  <si>
    <t>BAVM 214 </t>
  </si>
  <si>
    <t>2455660.5273 </t>
  </si>
  <si>
    <t> 09.04.2011 00:39 </t>
  </si>
  <si>
    <t> -0.1405 </t>
  </si>
  <si>
    <t>BAVM 220 </t>
  </si>
  <si>
    <t>BAD?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</si>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</sst>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sz val="10"/>
      <color indexed="10"/>
      <name val="Arial Unicode MS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4" fillId="0" borderId="2" applyNumberFormat="0" applyFont="0" applyFill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NumberFormat="1" applyAlignment="1">
      <alignment horizontal="right"/>
    </xf>
    <xf numFmtId="0" fontId="10" fillId="0" borderId="0" xfId="0" applyFont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Alignment="1"/>
    <xf numFmtId="0" fontId="0" fillId="0" borderId="6" xfId="0" applyBorder="1">
      <alignment vertical="top"/>
    </xf>
    <xf numFmtId="0" fontId="5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left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14" fontId="16" fillId="0" borderId="0" xfId="0" applyNumberFormat="1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NumberFormat="1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7" fillId="0" borderId="0" xfId="0" applyFont="1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5" fillId="0" borderId="0" xfId="0" applyFont="1">
      <alignment vertical="top"/>
    </xf>
    <xf numFmtId="0" fontId="14" fillId="0" borderId="0" xfId="0" applyFont="1">
      <alignment vertical="top"/>
    </xf>
    <xf numFmtId="0" fontId="6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14" fillId="0" borderId="0" xfId="0" applyFont="1" applyAlignment="1"/>
    <xf numFmtId="0" fontId="20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1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21" fillId="2" borderId="13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V1036 Cyg - O-C Diagr.</a:t>
            </a:r>
          </a:p>
        </c:rich>
      </c:tx>
      <c:layout>
        <c:manualLayout>
          <c:xMode val="edge"/>
          <c:yMode val="edge"/>
          <c:x val="0.3555198213859631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3387818482885"/>
          <c:y val="0.14723926380368099"/>
          <c:w val="0.810065577175052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06-469A-9A81-0D94CC441E86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A!$D$21:$D$992</c:f>
                <c:numCache>
                  <c:formatCode>General</c:formatCode>
                  <c:ptCount val="9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A!$D$21:$D$992</c:f>
                <c:numCache>
                  <c:formatCode>General</c:formatCode>
                  <c:ptCount val="9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A!$I$21:$I$992</c:f>
              <c:numCache>
                <c:formatCode>General</c:formatCode>
                <c:ptCount val="972"/>
                <c:pt idx="34">
                  <c:v>5.8895163019769825E-3</c:v>
                </c:pt>
                <c:pt idx="35">
                  <c:v>6.5053666767198592E-3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06-469A-9A81-0D94CC441E86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A!$D$21:$D$43</c:f>
                <c:numCache>
                  <c:formatCode>General</c:formatCode>
                  <c:ptCount val="23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</c:numCache>
              </c:numRef>
            </c:plus>
            <c:minus>
              <c:numRef>
                <c:f>A!$D$21:$D$43</c:f>
                <c:numCache>
                  <c:formatCode>General</c:formatCode>
                  <c:ptCount val="23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A!$J$21:$J$992</c:f>
              <c:numCache>
                <c:formatCode>General</c:formatCode>
                <c:ptCount val="972"/>
                <c:pt idx="27">
                  <c:v>1.379160225042142E-3</c:v>
                </c:pt>
                <c:pt idx="28">
                  <c:v>1.379160225042142E-3</c:v>
                </c:pt>
                <c:pt idx="29">
                  <c:v>5.9727234256570227E-3</c:v>
                </c:pt>
                <c:pt idx="31">
                  <c:v>9.0394656363059767E-3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06-469A-9A81-0D94CC441E86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A!$K$21:$K$992</c:f>
              <c:numCache>
                <c:formatCode>General</c:formatCode>
                <c:ptCount val="972"/>
                <c:pt idx="0">
                  <c:v>0.53006817220011726</c:v>
                </c:pt>
                <c:pt idx="1">
                  <c:v>1.3041697158769239E-2</c:v>
                </c:pt>
                <c:pt idx="2">
                  <c:v>2.3875068261986598E-2</c:v>
                </c:pt>
                <c:pt idx="3">
                  <c:v>-2.6838205230887979E-2</c:v>
                </c:pt>
                <c:pt idx="12">
                  <c:v>1.1155930551467463E-2</c:v>
                </c:pt>
                <c:pt idx="13">
                  <c:v>5.7970508714788593E-3</c:v>
                </c:pt>
                <c:pt idx="14">
                  <c:v>2.2791722149122506E-3</c:v>
                </c:pt>
                <c:pt idx="16">
                  <c:v>6.0839386569568887E-3</c:v>
                </c:pt>
                <c:pt idx="17">
                  <c:v>7.9129012519842945E-3</c:v>
                </c:pt>
                <c:pt idx="18">
                  <c:v>5.0304219766985625E-3</c:v>
                </c:pt>
                <c:pt idx="19">
                  <c:v>1.0095022589666769E-2</c:v>
                </c:pt>
                <c:pt idx="20">
                  <c:v>8.400743521633558E-3</c:v>
                </c:pt>
                <c:pt idx="21">
                  <c:v>5.8580721597536467E-3</c:v>
                </c:pt>
                <c:pt idx="22">
                  <c:v>8.8580721567268483E-3</c:v>
                </c:pt>
                <c:pt idx="23">
                  <c:v>9.3564018025062978E-3</c:v>
                </c:pt>
                <c:pt idx="24">
                  <c:v>4.0914432611316442E-3</c:v>
                </c:pt>
                <c:pt idx="25">
                  <c:v>6.5796434646472335E-3</c:v>
                </c:pt>
                <c:pt idx="26">
                  <c:v>7.350794185185805E-3</c:v>
                </c:pt>
                <c:pt idx="30">
                  <c:v>5.2780864280066453E-3</c:v>
                </c:pt>
                <c:pt idx="32">
                  <c:v>2.806992779369466E-4</c:v>
                </c:pt>
                <c:pt idx="33">
                  <c:v>6.2214616700657643E-3</c:v>
                </c:pt>
                <c:pt idx="36">
                  <c:v>6.7534357222029939E-3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06-469A-9A81-0D94CC441E86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06-469A-9A81-0D94CC441E86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06-469A-9A81-0D94CC441E86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06-469A-9A81-0D94CC441E86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A!$O$21:$O$992</c:f>
              <c:numCache>
                <c:formatCode>General</c:formatCode>
                <c:ptCount val="972"/>
                <c:pt idx="0">
                  <c:v>1.1365823688620262E-2</c:v>
                </c:pt>
                <c:pt idx="1">
                  <c:v>1.054182893538896E-2</c:v>
                </c:pt>
                <c:pt idx="2">
                  <c:v>1.0434112064021891E-2</c:v>
                </c:pt>
                <c:pt idx="3">
                  <c:v>8.0431120214871678E-3</c:v>
                </c:pt>
                <c:pt idx="4">
                  <c:v>7.1428505783098367E-3</c:v>
                </c:pt>
                <c:pt idx="5">
                  <c:v>7.1338086511512876E-3</c:v>
                </c:pt>
                <c:pt idx="6">
                  <c:v>7.1322361420802357E-3</c:v>
                </c:pt>
                <c:pt idx="7">
                  <c:v>7.1314498875447094E-3</c:v>
                </c:pt>
                <c:pt idx="8">
                  <c:v>7.0449618886368436E-3</c:v>
                </c:pt>
                <c:pt idx="9">
                  <c:v>7.0351337069427681E-3</c:v>
                </c:pt>
                <c:pt idx="10">
                  <c:v>7.0335611978717162E-3</c:v>
                </c:pt>
                <c:pt idx="11">
                  <c:v>7.0245192707131662E-3</c:v>
                </c:pt>
                <c:pt idx="12">
                  <c:v>6.7261356744810295E-3</c:v>
                </c:pt>
                <c:pt idx="13">
                  <c:v>6.7229906563389258E-3</c:v>
                </c:pt>
                <c:pt idx="14">
                  <c:v>6.7100174565027457E-3</c:v>
                </c:pt>
                <c:pt idx="15">
                  <c:v>6.7001892748086694E-3</c:v>
                </c:pt>
                <c:pt idx="16">
                  <c:v>6.6475102209284246E-3</c:v>
                </c:pt>
                <c:pt idx="17">
                  <c:v>6.6223500757915908E-3</c:v>
                </c:pt>
                <c:pt idx="18">
                  <c:v>6.6152737849718563E-3</c:v>
                </c:pt>
                <c:pt idx="19">
                  <c:v>6.6093768759554108E-3</c:v>
                </c:pt>
                <c:pt idx="20">
                  <c:v>6.6003349487968616E-3</c:v>
                </c:pt>
                <c:pt idx="21">
                  <c:v>6.5165988407633367E-3</c:v>
                </c:pt>
                <c:pt idx="22">
                  <c:v>6.5165988407633367E-3</c:v>
                </c:pt>
                <c:pt idx="23">
                  <c:v>6.4230345510357363E-3</c:v>
                </c:pt>
                <c:pt idx="24">
                  <c:v>6.4088819693962672E-3</c:v>
                </c:pt>
                <c:pt idx="25">
                  <c:v>6.4069163330574526E-3</c:v>
                </c:pt>
                <c:pt idx="26">
                  <c:v>6.1089258640930786E-3</c:v>
                </c:pt>
                <c:pt idx="27">
                  <c:v>6.0503499011963875E-3</c:v>
                </c:pt>
                <c:pt idx="28">
                  <c:v>6.0503499011963875E-3</c:v>
                </c:pt>
                <c:pt idx="29">
                  <c:v>6.0192928470431083E-3</c:v>
                </c:pt>
                <c:pt idx="30">
                  <c:v>5.9902014292286445E-3</c:v>
                </c:pt>
                <c:pt idx="31">
                  <c:v>5.8038591043089701E-3</c:v>
                </c:pt>
                <c:pt idx="32">
                  <c:v>5.4775634720656587E-3</c:v>
                </c:pt>
                <c:pt idx="33">
                  <c:v>5.4543689632676404E-3</c:v>
                </c:pt>
                <c:pt idx="34">
                  <c:v>5.3124500196051879E-3</c:v>
                </c:pt>
                <c:pt idx="35">
                  <c:v>5.211809439057853E-3</c:v>
                </c:pt>
                <c:pt idx="36">
                  <c:v>4.5434930838607083E-3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06-469A-9A81-0D94CC441E86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A!$U$21:$U$993</c:f>
              <c:numCache>
                <c:formatCode>General</c:formatCode>
                <c:ptCount val="973"/>
                <c:pt idx="0">
                  <c:v>0.53006817220011726</c:v>
                </c:pt>
                <c:pt idx="4">
                  <c:v>-5.8442512410692871E-2</c:v>
                </c:pt>
                <c:pt idx="5">
                  <c:v>-4.8536791473452467E-2</c:v>
                </c:pt>
                <c:pt idx="6">
                  <c:v>0.37153376868081978</c:v>
                </c:pt>
                <c:pt idx="7">
                  <c:v>0.56056904876459157</c:v>
                </c:pt>
                <c:pt idx="8">
                  <c:v>-0.21955014231207315</c:v>
                </c:pt>
                <c:pt idx="9">
                  <c:v>-6.1609141303051729E-2</c:v>
                </c:pt>
                <c:pt idx="10">
                  <c:v>0.3444614188556443</c:v>
                </c:pt>
                <c:pt idx="11">
                  <c:v>0.37536713978624903</c:v>
                </c:pt>
                <c:pt idx="15">
                  <c:v>3.912017322727479E-2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D06-469A-9A81-0D94CC441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69968"/>
        <c:axId val="1"/>
      </c:scatterChart>
      <c:valAx>
        <c:axId val="658969968"/>
        <c:scaling>
          <c:orientation val="minMax"/>
          <c:min val="-1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509902171319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2467532467532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969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33783277090363"/>
          <c:y val="0.92024539877300615"/>
          <c:w val="0.7808448375771209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V1036 Cyg - O-C Diagr.</a:t>
            </a:r>
          </a:p>
        </c:rich>
      </c:tx>
      <c:layout>
        <c:manualLayout>
          <c:xMode val="edge"/>
          <c:yMode val="edge"/>
          <c:x val="0.356564019448946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803889789303"/>
          <c:y val="0.14678942920199375"/>
          <c:w val="0.82171799027552672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EF-4872-980A-5391F3925C2B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A!$D$21:$D$992</c:f>
                <c:numCache>
                  <c:formatCode>General</c:formatCode>
                  <c:ptCount val="9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A!$D$21:$D$992</c:f>
                <c:numCache>
                  <c:formatCode>General</c:formatCode>
                  <c:ptCount val="9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A!$I$21:$I$992</c:f>
              <c:numCache>
                <c:formatCode>General</c:formatCode>
                <c:ptCount val="972"/>
                <c:pt idx="34">
                  <c:v>5.8895163019769825E-3</c:v>
                </c:pt>
                <c:pt idx="35">
                  <c:v>6.5053666767198592E-3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EF-4872-980A-5391F3925C2B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A!$D$21:$D$43</c:f>
                <c:numCache>
                  <c:formatCode>General</c:formatCode>
                  <c:ptCount val="23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</c:numCache>
              </c:numRef>
            </c:plus>
            <c:minus>
              <c:numRef>
                <c:f>A!$D$21:$D$43</c:f>
                <c:numCache>
                  <c:formatCode>General</c:formatCode>
                  <c:ptCount val="23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A!$J$21:$J$992</c:f>
              <c:numCache>
                <c:formatCode>General</c:formatCode>
                <c:ptCount val="972"/>
                <c:pt idx="27">
                  <c:v>1.379160225042142E-3</c:v>
                </c:pt>
                <c:pt idx="28">
                  <c:v>1.379160225042142E-3</c:v>
                </c:pt>
                <c:pt idx="29">
                  <c:v>5.9727234256570227E-3</c:v>
                </c:pt>
                <c:pt idx="31">
                  <c:v>9.0394656363059767E-3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EF-4872-980A-5391F3925C2B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A!$K$21:$K$992</c:f>
              <c:numCache>
                <c:formatCode>General</c:formatCode>
                <c:ptCount val="972"/>
                <c:pt idx="0">
                  <c:v>0.53006817220011726</c:v>
                </c:pt>
                <c:pt idx="1">
                  <c:v>1.3041697158769239E-2</c:v>
                </c:pt>
                <c:pt idx="2">
                  <c:v>2.3875068261986598E-2</c:v>
                </c:pt>
                <c:pt idx="3">
                  <c:v>-2.6838205230887979E-2</c:v>
                </c:pt>
                <c:pt idx="12">
                  <c:v>1.1155930551467463E-2</c:v>
                </c:pt>
                <c:pt idx="13">
                  <c:v>5.7970508714788593E-3</c:v>
                </c:pt>
                <c:pt idx="14">
                  <c:v>2.2791722149122506E-3</c:v>
                </c:pt>
                <c:pt idx="16">
                  <c:v>6.0839386569568887E-3</c:v>
                </c:pt>
                <c:pt idx="17">
                  <c:v>7.9129012519842945E-3</c:v>
                </c:pt>
                <c:pt idx="18">
                  <c:v>5.0304219766985625E-3</c:v>
                </c:pt>
                <c:pt idx="19">
                  <c:v>1.0095022589666769E-2</c:v>
                </c:pt>
                <c:pt idx="20">
                  <c:v>8.400743521633558E-3</c:v>
                </c:pt>
                <c:pt idx="21">
                  <c:v>5.8580721597536467E-3</c:v>
                </c:pt>
                <c:pt idx="22">
                  <c:v>8.8580721567268483E-3</c:v>
                </c:pt>
                <c:pt idx="23">
                  <c:v>9.3564018025062978E-3</c:v>
                </c:pt>
                <c:pt idx="24">
                  <c:v>4.0914432611316442E-3</c:v>
                </c:pt>
                <c:pt idx="25">
                  <c:v>6.5796434646472335E-3</c:v>
                </c:pt>
                <c:pt idx="26">
                  <c:v>7.350794185185805E-3</c:v>
                </c:pt>
                <c:pt idx="30">
                  <c:v>5.2780864280066453E-3</c:v>
                </c:pt>
                <c:pt idx="32">
                  <c:v>2.806992779369466E-4</c:v>
                </c:pt>
                <c:pt idx="33">
                  <c:v>6.2214616700657643E-3</c:v>
                </c:pt>
                <c:pt idx="36">
                  <c:v>6.7534357222029939E-3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EF-4872-980A-5391F3925C2B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EF-4872-980A-5391F3925C2B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EF-4872-980A-5391F3925C2B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0</c:v>
                  </c:pt>
                  <c:pt idx="27">
                    <c:v>5.9999999999999995E-4</c:v>
                  </c:pt>
                  <c:pt idx="28">
                    <c:v>5.9999999999999995E-4</c:v>
                  </c:pt>
                  <c:pt idx="29">
                    <c:v>1E-4</c:v>
                  </c:pt>
                  <c:pt idx="30">
                    <c:v>4.0000000000000001E-3</c:v>
                  </c:pt>
                  <c:pt idx="31">
                    <c:v>5.9999999999999995E-4</c:v>
                  </c:pt>
                  <c:pt idx="32">
                    <c:v>0</c:v>
                  </c:pt>
                  <c:pt idx="33">
                    <c:v>2.0000000000000001E-4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EF-4872-980A-5391F3925C2B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A!$F$21:$F$992</c:f>
              <c:numCache>
                <c:formatCode>General</c:formatCode>
                <c:ptCount val="972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A!$O$21:$O$992</c:f>
              <c:numCache>
                <c:formatCode>General</c:formatCode>
                <c:ptCount val="972"/>
                <c:pt idx="0">
                  <c:v>1.1365823688620262E-2</c:v>
                </c:pt>
                <c:pt idx="1">
                  <c:v>1.054182893538896E-2</c:v>
                </c:pt>
                <c:pt idx="2">
                  <c:v>1.0434112064021891E-2</c:v>
                </c:pt>
                <c:pt idx="3">
                  <c:v>8.0431120214871678E-3</c:v>
                </c:pt>
                <c:pt idx="4">
                  <c:v>7.1428505783098367E-3</c:v>
                </c:pt>
                <c:pt idx="5">
                  <c:v>7.1338086511512876E-3</c:v>
                </c:pt>
                <c:pt idx="6">
                  <c:v>7.1322361420802357E-3</c:v>
                </c:pt>
                <c:pt idx="7">
                  <c:v>7.1314498875447094E-3</c:v>
                </c:pt>
                <c:pt idx="8">
                  <c:v>7.0449618886368436E-3</c:v>
                </c:pt>
                <c:pt idx="9">
                  <c:v>7.0351337069427681E-3</c:v>
                </c:pt>
                <c:pt idx="10">
                  <c:v>7.0335611978717162E-3</c:v>
                </c:pt>
                <c:pt idx="11">
                  <c:v>7.0245192707131662E-3</c:v>
                </c:pt>
                <c:pt idx="12">
                  <c:v>6.7261356744810295E-3</c:v>
                </c:pt>
                <c:pt idx="13">
                  <c:v>6.7229906563389258E-3</c:v>
                </c:pt>
                <c:pt idx="14">
                  <c:v>6.7100174565027457E-3</c:v>
                </c:pt>
                <c:pt idx="15">
                  <c:v>6.7001892748086694E-3</c:v>
                </c:pt>
                <c:pt idx="16">
                  <c:v>6.6475102209284246E-3</c:v>
                </c:pt>
                <c:pt idx="17">
                  <c:v>6.6223500757915908E-3</c:v>
                </c:pt>
                <c:pt idx="18">
                  <c:v>6.6152737849718563E-3</c:v>
                </c:pt>
                <c:pt idx="19">
                  <c:v>6.6093768759554108E-3</c:v>
                </c:pt>
                <c:pt idx="20">
                  <c:v>6.6003349487968616E-3</c:v>
                </c:pt>
                <c:pt idx="21">
                  <c:v>6.5165988407633367E-3</c:v>
                </c:pt>
                <c:pt idx="22">
                  <c:v>6.5165988407633367E-3</c:v>
                </c:pt>
                <c:pt idx="23">
                  <c:v>6.4230345510357363E-3</c:v>
                </c:pt>
                <c:pt idx="24">
                  <c:v>6.4088819693962672E-3</c:v>
                </c:pt>
                <c:pt idx="25">
                  <c:v>6.4069163330574526E-3</c:v>
                </c:pt>
                <c:pt idx="26">
                  <c:v>6.1089258640930786E-3</c:v>
                </c:pt>
                <c:pt idx="27">
                  <c:v>6.0503499011963875E-3</c:v>
                </c:pt>
                <c:pt idx="28">
                  <c:v>6.0503499011963875E-3</c:v>
                </c:pt>
                <c:pt idx="29">
                  <c:v>6.0192928470431083E-3</c:v>
                </c:pt>
                <c:pt idx="30">
                  <c:v>5.9902014292286445E-3</c:v>
                </c:pt>
                <c:pt idx="31">
                  <c:v>5.8038591043089701E-3</c:v>
                </c:pt>
                <c:pt idx="32">
                  <c:v>5.4775634720656587E-3</c:v>
                </c:pt>
                <c:pt idx="33">
                  <c:v>5.4543689632676404E-3</c:v>
                </c:pt>
                <c:pt idx="34">
                  <c:v>5.3124500196051879E-3</c:v>
                </c:pt>
                <c:pt idx="35">
                  <c:v>5.211809439057853E-3</c:v>
                </c:pt>
                <c:pt idx="36">
                  <c:v>4.5434930838607083E-3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EF-4872-980A-5391F3925C2B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A!$F$21:$F$993</c:f>
              <c:numCache>
                <c:formatCode>General</c:formatCode>
                <c:ptCount val="973"/>
                <c:pt idx="0">
                  <c:v>-7518</c:v>
                </c:pt>
                <c:pt idx="1">
                  <c:v>-6470</c:v>
                </c:pt>
                <c:pt idx="2">
                  <c:v>-6333</c:v>
                </c:pt>
                <c:pt idx="3">
                  <c:v>-3292</c:v>
                </c:pt>
                <c:pt idx="4">
                  <c:v>-2147</c:v>
                </c:pt>
                <c:pt idx="5">
                  <c:v>-2135.5</c:v>
                </c:pt>
                <c:pt idx="6">
                  <c:v>-2133.5</c:v>
                </c:pt>
                <c:pt idx="7">
                  <c:v>-2132.5</c:v>
                </c:pt>
                <c:pt idx="8">
                  <c:v>-2022.5</c:v>
                </c:pt>
                <c:pt idx="9">
                  <c:v>-2010</c:v>
                </c:pt>
                <c:pt idx="10">
                  <c:v>-2008</c:v>
                </c:pt>
                <c:pt idx="11">
                  <c:v>-1996.5</c:v>
                </c:pt>
                <c:pt idx="12">
                  <c:v>-1617</c:v>
                </c:pt>
                <c:pt idx="13">
                  <c:v>-1613</c:v>
                </c:pt>
                <c:pt idx="14">
                  <c:v>-1596.5</c:v>
                </c:pt>
                <c:pt idx="15">
                  <c:v>-1584</c:v>
                </c:pt>
                <c:pt idx="16">
                  <c:v>-1517</c:v>
                </c:pt>
                <c:pt idx="17">
                  <c:v>-1485</c:v>
                </c:pt>
                <c:pt idx="18">
                  <c:v>-1476</c:v>
                </c:pt>
                <c:pt idx="19">
                  <c:v>-1468.5</c:v>
                </c:pt>
                <c:pt idx="20">
                  <c:v>-1457</c:v>
                </c:pt>
                <c:pt idx="21">
                  <c:v>-1350.5</c:v>
                </c:pt>
                <c:pt idx="22">
                  <c:v>-1350.5</c:v>
                </c:pt>
                <c:pt idx="23">
                  <c:v>-1231.5</c:v>
                </c:pt>
                <c:pt idx="24">
                  <c:v>-1213.5</c:v>
                </c:pt>
                <c:pt idx="25">
                  <c:v>-1211</c:v>
                </c:pt>
                <c:pt idx="26">
                  <c:v>-832</c:v>
                </c:pt>
                <c:pt idx="27">
                  <c:v>-757.5</c:v>
                </c:pt>
                <c:pt idx="28">
                  <c:v>-757.5</c:v>
                </c:pt>
                <c:pt idx="29">
                  <c:v>-718</c:v>
                </c:pt>
                <c:pt idx="30">
                  <c:v>-681</c:v>
                </c:pt>
                <c:pt idx="31">
                  <c:v>-444</c:v>
                </c:pt>
                <c:pt idx="32">
                  <c:v>-29</c:v>
                </c:pt>
                <c:pt idx="33">
                  <c:v>0.5</c:v>
                </c:pt>
                <c:pt idx="34">
                  <c:v>181</c:v>
                </c:pt>
                <c:pt idx="35">
                  <c:v>309</c:v>
                </c:pt>
                <c:pt idx="36">
                  <c:v>1159</c:v>
                </c:pt>
              </c:numCache>
            </c:numRef>
          </c:xVal>
          <c:yVal>
            <c:numRef>
              <c:f>A!$U$21:$U$993</c:f>
              <c:numCache>
                <c:formatCode>General</c:formatCode>
                <c:ptCount val="973"/>
                <c:pt idx="0">
                  <c:v>0.53006817220011726</c:v>
                </c:pt>
                <c:pt idx="4">
                  <c:v>-5.8442512410692871E-2</c:v>
                </c:pt>
                <c:pt idx="5">
                  <c:v>-4.8536791473452467E-2</c:v>
                </c:pt>
                <c:pt idx="6">
                  <c:v>0.37153376868081978</c:v>
                </c:pt>
                <c:pt idx="7">
                  <c:v>0.56056904876459157</c:v>
                </c:pt>
                <c:pt idx="8">
                  <c:v>-0.21955014231207315</c:v>
                </c:pt>
                <c:pt idx="9">
                  <c:v>-6.1609141303051729E-2</c:v>
                </c:pt>
                <c:pt idx="10">
                  <c:v>0.3444614188556443</c:v>
                </c:pt>
                <c:pt idx="11">
                  <c:v>0.37536713978624903</c:v>
                </c:pt>
                <c:pt idx="15">
                  <c:v>3.912017322727479E-2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EF-4872-980A-5391F3925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70328"/>
        <c:axId val="1"/>
      </c:scatterChart>
      <c:valAx>
        <c:axId val="658970328"/>
        <c:scaling>
          <c:orientation val="minMax"/>
          <c:max val="1000"/>
          <c:min val="-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5931928687197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43111831442464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97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45380875202594"/>
          <c:y val="0.9204921861831491"/>
          <c:w val="0.7795786061588330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V1036 Cyg - O-C Diagr.</a:t>
            </a:r>
          </a:p>
        </c:rich>
      </c:tx>
      <c:layout>
        <c:manualLayout>
          <c:xMode val="edge"/>
          <c:yMode val="edge"/>
          <c:x val="0.3161159193943732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582652277824241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-4428</c:v>
                </c:pt>
                <c:pt idx="2">
                  <c:v>-512</c:v>
                </c:pt>
                <c:pt idx="3">
                  <c:v>0</c:v>
                </c:pt>
                <c:pt idx="4">
                  <c:v>11365</c:v>
                </c:pt>
                <c:pt idx="5">
                  <c:v>15644</c:v>
                </c:pt>
                <c:pt idx="6">
                  <c:v>15687</c:v>
                </c:pt>
                <c:pt idx="7">
                  <c:v>15695</c:v>
                </c:pt>
                <c:pt idx="8">
                  <c:v>15699</c:v>
                </c:pt>
                <c:pt idx="9">
                  <c:v>16109</c:v>
                </c:pt>
                <c:pt idx="10">
                  <c:v>16156</c:v>
                </c:pt>
                <c:pt idx="11">
                  <c:v>16164</c:v>
                </c:pt>
                <c:pt idx="12">
                  <c:v>16207</c:v>
                </c:pt>
                <c:pt idx="13">
                  <c:v>17625</c:v>
                </c:pt>
                <c:pt idx="14">
                  <c:v>17640</c:v>
                </c:pt>
                <c:pt idx="15">
                  <c:v>17701.5</c:v>
                </c:pt>
                <c:pt idx="16">
                  <c:v>17748</c:v>
                </c:pt>
                <c:pt idx="17">
                  <c:v>17998.5</c:v>
                </c:pt>
                <c:pt idx="18">
                  <c:v>18118</c:v>
                </c:pt>
                <c:pt idx="19">
                  <c:v>18152</c:v>
                </c:pt>
                <c:pt idx="20">
                  <c:v>18180</c:v>
                </c:pt>
                <c:pt idx="21">
                  <c:v>18223</c:v>
                </c:pt>
                <c:pt idx="22">
                  <c:v>18621</c:v>
                </c:pt>
                <c:pt idx="23">
                  <c:v>18621</c:v>
                </c:pt>
                <c:pt idx="24">
                  <c:v>19065.5</c:v>
                </c:pt>
                <c:pt idx="25">
                  <c:v>19133</c:v>
                </c:pt>
                <c:pt idx="26">
                  <c:v>19142</c:v>
                </c:pt>
                <c:pt idx="27">
                  <c:v>21123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72-4658-9B13-46D8FF36662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-4428</c:v>
                </c:pt>
                <c:pt idx="2">
                  <c:v>-512</c:v>
                </c:pt>
                <c:pt idx="3">
                  <c:v>0</c:v>
                </c:pt>
                <c:pt idx="4">
                  <c:v>11365</c:v>
                </c:pt>
                <c:pt idx="5">
                  <c:v>15644</c:v>
                </c:pt>
                <c:pt idx="6">
                  <c:v>15687</c:v>
                </c:pt>
                <c:pt idx="7">
                  <c:v>15695</c:v>
                </c:pt>
                <c:pt idx="8">
                  <c:v>15699</c:v>
                </c:pt>
                <c:pt idx="9">
                  <c:v>16109</c:v>
                </c:pt>
                <c:pt idx="10">
                  <c:v>16156</c:v>
                </c:pt>
                <c:pt idx="11">
                  <c:v>16164</c:v>
                </c:pt>
                <c:pt idx="12">
                  <c:v>16207</c:v>
                </c:pt>
                <c:pt idx="13">
                  <c:v>17625</c:v>
                </c:pt>
                <c:pt idx="14">
                  <c:v>17640</c:v>
                </c:pt>
                <c:pt idx="15">
                  <c:v>17701.5</c:v>
                </c:pt>
                <c:pt idx="16">
                  <c:v>17748</c:v>
                </c:pt>
                <c:pt idx="17">
                  <c:v>17998.5</c:v>
                </c:pt>
                <c:pt idx="18">
                  <c:v>18118</c:v>
                </c:pt>
                <c:pt idx="19">
                  <c:v>18152</c:v>
                </c:pt>
                <c:pt idx="20">
                  <c:v>18180</c:v>
                </c:pt>
                <c:pt idx="21">
                  <c:v>18223</c:v>
                </c:pt>
                <c:pt idx="22">
                  <c:v>18621</c:v>
                </c:pt>
                <c:pt idx="23">
                  <c:v>18621</c:v>
                </c:pt>
                <c:pt idx="24">
                  <c:v>19065.5</c:v>
                </c:pt>
                <c:pt idx="25">
                  <c:v>19133</c:v>
                </c:pt>
                <c:pt idx="26">
                  <c:v>19142</c:v>
                </c:pt>
                <c:pt idx="27">
                  <c:v>21123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5">
                  <c:v>2.2720000000845175E-2</c:v>
                </c:pt>
                <c:pt idx="6">
                  <c:v>1.6560000003664754E-2</c:v>
                </c:pt>
                <c:pt idx="7">
                  <c:v>4.559999999764841E-2</c:v>
                </c:pt>
                <c:pt idx="8">
                  <c:v>3.9120000001275912E-2</c:v>
                </c:pt>
                <c:pt idx="9">
                  <c:v>7.5920000002952293E-2</c:v>
                </c:pt>
                <c:pt idx="10">
                  <c:v>2.2280000004684553E-2</c:v>
                </c:pt>
                <c:pt idx="11">
                  <c:v>3.7320000003091991E-2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72-4658-9B13-46D8FF36662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-4428</c:v>
                </c:pt>
                <c:pt idx="2">
                  <c:v>-512</c:v>
                </c:pt>
                <c:pt idx="3">
                  <c:v>0</c:v>
                </c:pt>
                <c:pt idx="4">
                  <c:v>11365</c:v>
                </c:pt>
                <c:pt idx="5">
                  <c:v>15644</c:v>
                </c:pt>
                <c:pt idx="6">
                  <c:v>15687</c:v>
                </c:pt>
                <c:pt idx="7">
                  <c:v>15695</c:v>
                </c:pt>
                <c:pt idx="8">
                  <c:v>15699</c:v>
                </c:pt>
                <c:pt idx="9">
                  <c:v>16109</c:v>
                </c:pt>
                <c:pt idx="10">
                  <c:v>16156</c:v>
                </c:pt>
                <c:pt idx="11">
                  <c:v>16164</c:v>
                </c:pt>
                <c:pt idx="12">
                  <c:v>16207</c:v>
                </c:pt>
                <c:pt idx="13">
                  <c:v>17625</c:v>
                </c:pt>
                <c:pt idx="14">
                  <c:v>17640</c:v>
                </c:pt>
                <c:pt idx="15">
                  <c:v>17701.5</c:v>
                </c:pt>
                <c:pt idx="16">
                  <c:v>17748</c:v>
                </c:pt>
                <c:pt idx="17">
                  <c:v>17998.5</c:v>
                </c:pt>
                <c:pt idx="18">
                  <c:v>18118</c:v>
                </c:pt>
                <c:pt idx="19">
                  <c:v>18152</c:v>
                </c:pt>
                <c:pt idx="20">
                  <c:v>18180</c:v>
                </c:pt>
                <c:pt idx="21">
                  <c:v>18223</c:v>
                </c:pt>
                <c:pt idx="22">
                  <c:v>18621</c:v>
                </c:pt>
                <c:pt idx="23">
                  <c:v>18621</c:v>
                </c:pt>
                <c:pt idx="24">
                  <c:v>19065.5</c:v>
                </c:pt>
                <c:pt idx="25">
                  <c:v>19133</c:v>
                </c:pt>
                <c:pt idx="26">
                  <c:v>19142</c:v>
                </c:pt>
                <c:pt idx="27">
                  <c:v>21123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1">
                  <c:v>2.636000000347849E-2</c:v>
                </c:pt>
                <c:pt idx="2">
                  <c:v>-1.3559999999415595E-2</c:v>
                </c:pt>
                <c:pt idx="3">
                  <c:v>0</c:v>
                </c:pt>
                <c:pt idx="4">
                  <c:v>-6.0799999999289867E-2</c:v>
                </c:pt>
                <c:pt idx="12">
                  <c:v>5.2159999999275897E-2</c:v>
                </c:pt>
                <c:pt idx="13">
                  <c:v>-9.8099999995611142E-2</c:v>
                </c:pt>
                <c:pt idx="14">
                  <c:v>-0.14140000000043074</c:v>
                </c:pt>
                <c:pt idx="15">
                  <c:v>-2.238000000215834E-2</c:v>
                </c:pt>
                <c:pt idx="16">
                  <c:v>0.17494000000442611</c:v>
                </c:pt>
                <c:pt idx="17">
                  <c:v>6.4480000000912696E-2</c:v>
                </c:pt>
                <c:pt idx="18">
                  <c:v>0.13483999999880325</c:v>
                </c:pt>
                <c:pt idx="19">
                  <c:v>-0.13944000000628876</c:v>
                </c:pt>
                <c:pt idx="20">
                  <c:v>-0.11250000000291038</c:v>
                </c:pt>
                <c:pt idx="21">
                  <c:v>-0.13025999999808846</c:v>
                </c:pt>
                <c:pt idx="22">
                  <c:v>-0.11981999999261461</c:v>
                </c:pt>
                <c:pt idx="23">
                  <c:v>-0.11681999999564141</c:v>
                </c:pt>
                <c:pt idx="24">
                  <c:v>5.7139999997161794E-2</c:v>
                </c:pt>
                <c:pt idx="25">
                  <c:v>-0.11886000000231434</c:v>
                </c:pt>
                <c:pt idx="26">
                  <c:v>0.13896000000386266</c:v>
                </c:pt>
                <c:pt idx="27">
                  <c:v>-5.2759999998670537E-2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72-4658-9B13-46D8FF36662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-4428</c:v>
                </c:pt>
                <c:pt idx="2">
                  <c:v>-512</c:v>
                </c:pt>
                <c:pt idx="3">
                  <c:v>0</c:v>
                </c:pt>
                <c:pt idx="4">
                  <c:v>11365</c:v>
                </c:pt>
                <c:pt idx="5">
                  <c:v>15644</c:v>
                </c:pt>
                <c:pt idx="6">
                  <c:v>15687</c:v>
                </c:pt>
                <c:pt idx="7">
                  <c:v>15695</c:v>
                </c:pt>
                <c:pt idx="8">
                  <c:v>15699</c:v>
                </c:pt>
                <c:pt idx="9">
                  <c:v>16109</c:v>
                </c:pt>
                <c:pt idx="10">
                  <c:v>16156</c:v>
                </c:pt>
                <c:pt idx="11">
                  <c:v>16164</c:v>
                </c:pt>
                <c:pt idx="12">
                  <c:v>16207</c:v>
                </c:pt>
                <c:pt idx="13">
                  <c:v>17625</c:v>
                </c:pt>
                <c:pt idx="14">
                  <c:v>17640</c:v>
                </c:pt>
                <c:pt idx="15">
                  <c:v>17701.5</c:v>
                </c:pt>
                <c:pt idx="16">
                  <c:v>17748</c:v>
                </c:pt>
                <c:pt idx="17">
                  <c:v>17998.5</c:v>
                </c:pt>
                <c:pt idx="18">
                  <c:v>18118</c:v>
                </c:pt>
                <c:pt idx="19">
                  <c:v>18152</c:v>
                </c:pt>
                <c:pt idx="20">
                  <c:v>18180</c:v>
                </c:pt>
                <c:pt idx="21">
                  <c:v>18223</c:v>
                </c:pt>
                <c:pt idx="22">
                  <c:v>18621</c:v>
                </c:pt>
                <c:pt idx="23">
                  <c:v>18621</c:v>
                </c:pt>
                <c:pt idx="24">
                  <c:v>19065.5</c:v>
                </c:pt>
                <c:pt idx="25">
                  <c:v>19133</c:v>
                </c:pt>
                <c:pt idx="26">
                  <c:v>19142</c:v>
                </c:pt>
                <c:pt idx="27">
                  <c:v>21123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72-4658-9B13-46D8FF36662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-4428</c:v>
                </c:pt>
                <c:pt idx="2">
                  <c:v>-512</c:v>
                </c:pt>
                <c:pt idx="3">
                  <c:v>0</c:v>
                </c:pt>
                <c:pt idx="4">
                  <c:v>11365</c:v>
                </c:pt>
                <c:pt idx="5">
                  <c:v>15644</c:v>
                </c:pt>
                <c:pt idx="6">
                  <c:v>15687</c:v>
                </c:pt>
                <c:pt idx="7">
                  <c:v>15695</c:v>
                </c:pt>
                <c:pt idx="8">
                  <c:v>15699</c:v>
                </c:pt>
                <c:pt idx="9">
                  <c:v>16109</c:v>
                </c:pt>
                <c:pt idx="10">
                  <c:v>16156</c:v>
                </c:pt>
                <c:pt idx="11">
                  <c:v>16164</c:v>
                </c:pt>
                <c:pt idx="12">
                  <c:v>16207</c:v>
                </c:pt>
                <c:pt idx="13">
                  <c:v>17625</c:v>
                </c:pt>
                <c:pt idx="14">
                  <c:v>17640</c:v>
                </c:pt>
                <c:pt idx="15">
                  <c:v>17701.5</c:v>
                </c:pt>
                <c:pt idx="16">
                  <c:v>17748</c:v>
                </c:pt>
                <c:pt idx="17">
                  <c:v>17998.5</c:v>
                </c:pt>
                <c:pt idx="18">
                  <c:v>18118</c:v>
                </c:pt>
                <c:pt idx="19">
                  <c:v>18152</c:v>
                </c:pt>
                <c:pt idx="20">
                  <c:v>18180</c:v>
                </c:pt>
                <c:pt idx="21">
                  <c:v>18223</c:v>
                </c:pt>
                <c:pt idx="22">
                  <c:v>18621</c:v>
                </c:pt>
                <c:pt idx="23">
                  <c:v>18621</c:v>
                </c:pt>
                <c:pt idx="24">
                  <c:v>19065.5</c:v>
                </c:pt>
                <c:pt idx="25">
                  <c:v>19133</c:v>
                </c:pt>
                <c:pt idx="26">
                  <c:v>19142</c:v>
                </c:pt>
                <c:pt idx="27">
                  <c:v>21123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72-4658-9B13-46D8FF36662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-4428</c:v>
                </c:pt>
                <c:pt idx="2">
                  <c:v>-512</c:v>
                </c:pt>
                <c:pt idx="3">
                  <c:v>0</c:v>
                </c:pt>
                <c:pt idx="4">
                  <c:v>11365</c:v>
                </c:pt>
                <c:pt idx="5">
                  <c:v>15644</c:v>
                </c:pt>
                <c:pt idx="6">
                  <c:v>15687</c:v>
                </c:pt>
                <c:pt idx="7">
                  <c:v>15695</c:v>
                </c:pt>
                <c:pt idx="8">
                  <c:v>15699</c:v>
                </c:pt>
                <c:pt idx="9">
                  <c:v>16109</c:v>
                </c:pt>
                <c:pt idx="10">
                  <c:v>16156</c:v>
                </c:pt>
                <c:pt idx="11">
                  <c:v>16164</c:v>
                </c:pt>
                <c:pt idx="12">
                  <c:v>16207</c:v>
                </c:pt>
                <c:pt idx="13">
                  <c:v>17625</c:v>
                </c:pt>
                <c:pt idx="14">
                  <c:v>17640</c:v>
                </c:pt>
                <c:pt idx="15">
                  <c:v>17701.5</c:v>
                </c:pt>
                <c:pt idx="16">
                  <c:v>17748</c:v>
                </c:pt>
                <c:pt idx="17">
                  <c:v>17998.5</c:v>
                </c:pt>
                <c:pt idx="18">
                  <c:v>18118</c:v>
                </c:pt>
                <c:pt idx="19">
                  <c:v>18152</c:v>
                </c:pt>
                <c:pt idx="20">
                  <c:v>18180</c:v>
                </c:pt>
                <c:pt idx="21">
                  <c:v>18223</c:v>
                </c:pt>
                <c:pt idx="22">
                  <c:v>18621</c:v>
                </c:pt>
                <c:pt idx="23">
                  <c:v>18621</c:v>
                </c:pt>
                <c:pt idx="24">
                  <c:v>19065.5</c:v>
                </c:pt>
                <c:pt idx="25">
                  <c:v>19133</c:v>
                </c:pt>
                <c:pt idx="26">
                  <c:v>19142</c:v>
                </c:pt>
                <c:pt idx="27">
                  <c:v>21123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72-4658-9B13-46D8FF36662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-4428</c:v>
                </c:pt>
                <c:pt idx="2">
                  <c:v>-512</c:v>
                </c:pt>
                <c:pt idx="3">
                  <c:v>0</c:v>
                </c:pt>
                <c:pt idx="4">
                  <c:v>11365</c:v>
                </c:pt>
                <c:pt idx="5">
                  <c:v>15644</c:v>
                </c:pt>
                <c:pt idx="6">
                  <c:v>15687</c:v>
                </c:pt>
                <c:pt idx="7">
                  <c:v>15695</c:v>
                </c:pt>
                <c:pt idx="8">
                  <c:v>15699</c:v>
                </c:pt>
                <c:pt idx="9">
                  <c:v>16109</c:v>
                </c:pt>
                <c:pt idx="10">
                  <c:v>16156</c:v>
                </c:pt>
                <c:pt idx="11">
                  <c:v>16164</c:v>
                </c:pt>
                <c:pt idx="12">
                  <c:v>16207</c:v>
                </c:pt>
                <c:pt idx="13">
                  <c:v>17625</c:v>
                </c:pt>
                <c:pt idx="14">
                  <c:v>17640</c:v>
                </c:pt>
                <c:pt idx="15">
                  <c:v>17701.5</c:v>
                </c:pt>
                <c:pt idx="16">
                  <c:v>17748</c:v>
                </c:pt>
                <c:pt idx="17">
                  <c:v>17998.5</c:v>
                </c:pt>
                <c:pt idx="18">
                  <c:v>18118</c:v>
                </c:pt>
                <c:pt idx="19">
                  <c:v>18152</c:v>
                </c:pt>
                <c:pt idx="20">
                  <c:v>18180</c:v>
                </c:pt>
                <c:pt idx="21">
                  <c:v>18223</c:v>
                </c:pt>
                <c:pt idx="22">
                  <c:v>18621</c:v>
                </c:pt>
                <c:pt idx="23">
                  <c:v>18621</c:v>
                </c:pt>
                <c:pt idx="24">
                  <c:v>19065.5</c:v>
                </c:pt>
                <c:pt idx="25">
                  <c:v>19133</c:v>
                </c:pt>
                <c:pt idx="26">
                  <c:v>19142</c:v>
                </c:pt>
                <c:pt idx="27">
                  <c:v>21123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72-4658-9B13-46D8FF36662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-4428</c:v>
                </c:pt>
                <c:pt idx="2">
                  <c:v>-512</c:v>
                </c:pt>
                <c:pt idx="3">
                  <c:v>0</c:v>
                </c:pt>
                <c:pt idx="4">
                  <c:v>11365</c:v>
                </c:pt>
                <c:pt idx="5">
                  <c:v>15644</c:v>
                </c:pt>
                <c:pt idx="6">
                  <c:v>15687</c:v>
                </c:pt>
                <c:pt idx="7">
                  <c:v>15695</c:v>
                </c:pt>
                <c:pt idx="8">
                  <c:v>15699</c:v>
                </c:pt>
                <c:pt idx="9">
                  <c:v>16109</c:v>
                </c:pt>
                <c:pt idx="10">
                  <c:v>16156</c:v>
                </c:pt>
                <c:pt idx="11">
                  <c:v>16164</c:v>
                </c:pt>
                <c:pt idx="12">
                  <c:v>16207</c:v>
                </c:pt>
                <c:pt idx="13">
                  <c:v>17625</c:v>
                </c:pt>
                <c:pt idx="14">
                  <c:v>17640</c:v>
                </c:pt>
                <c:pt idx="15">
                  <c:v>17701.5</c:v>
                </c:pt>
                <c:pt idx="16">
                  <c:v>17748</c:v>
                </c:pt>
                <c:pt idx="17">
                  <c:v>17998.5</c:v>
                </c:pt>
                <c:pt idx="18">
                  <c:v>18118</c:v>
                </c:pt>
                <c:pt idx="19">
                  <c:v>18152</c:v>
                </c:pt>
                <c:pt idx="20">
                  <c:v>18180</c:v>
                </c:pt>
                <c:pt idx="21">
                  <c:v>18223</c:v>
                </c:pt>
                <c:pt idx="22">
                  <c:v>18621</c:v>
                </c:pt>
                <c:pt idx="23">
                  <c:v>18621</c:v>
                </c:pt>
                <c:pt idx="24">
                  <c:v>19065.5</c:v>
                </c:pt>
                <c:pt idx="25">
                  <c:v>19133</c:v>
                </c:pt>
                <c:pt idx="26">
                  <c:v>19142</c:v>
                </c:pt>
                <c:pt idx="27">
                  <c:v>21123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9.7458423099305545E-3</c:v>
                </c:pt>
                <c:pt idx="1">
                  <c:v>1.503929574271178E-2</c:v>
                </c:pt>
                <c:pt idx="2">
                  <c:v>1.0357912806223234E-2</c:v>
                </c:pt>
                <c:pt idx="3">
                  <c:v>9.7458423099305545E-3</c:v>
                </c:pt>
                <c:pt idx="4">
                  <c:v>-3.8404490775036451E-3</c:v>
                </c:pt>
                <c:pt idx="5">
                  <c:v>-8.9557804322621982E-3</c:v>
                </c:pt>
                <c:pt idx="6">
                  <c:v>-9.007184790349277E-3</c:v>
                </c:pt>
                <c:pt idx="7">
                  <c:v>-9.0167483918538495E-3</c:v>
                </c:pt>
                <c:pt idx="8">
                  <c:v>-9.0215301926061357E-3</c:v>
                </c:pt>
                <c:pt idx="9">
                  <c:v>-9.5116647697155096E-3</c:v>
                </c:pt>
                <c:pt idx="10">
                  <c:v>-9.5678509285548781E-3</c:v>
                </c:pt>
                <c:pt idx="11">
                  <c:v>-9.5774145300594506E-3</c:v>
                </c:pt>
                <c:pt idx="12">
                  <c:v>-9.6288188881465293E-3</c:v>
                </c:pt>
                <c:pt idx="13">
                  <c:v>-1.1323967254832118E-2</c:v>
                </c:pt>
                <c:pt idx="14">
                  <c:v>-1.1341899007653193E-2</c:v>
                </c:pt>
                <c:pt idx="15">
                  <c:v>-1.1415419194219598E-2</c:v>
                </c:pt>
                <c:pt idx="16">
                  <c:v>-1.1471007627964928E-2</c:v>
                </c:pt>
                <c:pt idx="17">
                  <c:v>-1.1770467900076874E-2</c:v>
                </c:pt>
                <c:pt idx="18">
                  <c:v>-1.1913324197551436E-2</c:v>
                </c:pt>
                <c:pt idx="19">
                  <c:v>-1.1953969503945873E-2</c:v>
                </c:pt>
                <c:pt idx="20">
                  <c:v>-1.1987442109211877E-2</c:v>
                </c:pt>
                <c:pt idx="21">
                  <c:v>-1.2038846467298959E-2</c:v>
                </c:pt>
                <c:pt idx="22">
                  <c:v>-1.2514635642151471E-2</c:v>
                </c:pt>
                <c:pt idx="23">
                  <c:v>-1.2514635642151471E-2</c:v>
                </c:pt>
                <c:pt idx="24">
                  <c:v>-1.3046013250749316E-2</c:v>
                </c:pt>
                <c:pt idx="25">
                  <c:v>-1.312670613844415E-2</c:v>
                </c:pt>
                <c:pt idx="26">
                  <c:v>-1.3137465190136796E-2</c:v>
                </c:pt>
                <c:pt idx="27">
                  <c:v>-1.5505652012706716E-2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72-4658-9B13-46D8FF366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361776"/>
        <c:axId val="1"/>
      </c:scatterChart>
      <c:valAx>
        <c:axId val="73436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77065573414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361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V1036 Cyg - O-C Diagr.</a:t>
            </a:r>
          </a:p>
        </c:rich>
      </c:tx>
      <c:layout>
        <c:manualLayout>
          <c:xMode val="edge"/>
          <c:yMode val="edge"/>
          <c:x val="0.3161159193943732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-3299.5</c:v>
                </c:pt>
                <c:pt idx="2">
                  <c:v>-381.5</c:v>
                </c:pt>
                <c:pt idx="3">
                  <c:v>0</c:v>
                </c:pt>
                <c:pt idx="4">
                  <c:v>8468.5</c:v>
                </c:pt>
                <c:pt idx="5">
                  <c:v>11657</c:v>
                </c:pt>
                <c:pt idx="6">
                  <c:v>11689</c:v>
                </c:pt>
                <c:pt idx="7">
                  <c:v>11695</c:v>
                </c:pt>
                <c:pt idx="8">
                  <c:v>11698</c:v>
                </c:pt>
                <c:pt idx="9">
                  <c:v>12003.5</c:v>
                </c:pt>
                <c:pt idx="10">
                  <c:v>12038.5</c:v>
                </c:pt>
                <c:pt idx="11">
                  <c:v>12044.5</c:v>
                </c:pt>
                <c:pt idx="12">
                  <c:v>12076.5</c:v>
                </c:pt>
                <c:pt idx="13">
                  <c:v>13133</c:v>
                </c:pt>
                <c:pt idx="14">
                  <c:v>13144</c:v>
                </c:pt>
                <c:pt idx="15">
                  <c:v>13190</c:v>
                </c:pt>
                <c:pt idx="16">
                  <c:v>13225</c:v>
                </c:pt>
                <c:pt idx="17">
                  <c:v>13411.5</c:v>
                </c:pt>
                <c:pt idx="18">
                  <c:v>13500.5</c:v>
                </c:pt>
                <c:pt idx="19">
                  <c:v>13525.5</c:v>
                </c:pt>
                <c:pt idx="20">
                  <c:v>13546.5</c:v>
                </c:pt>
                <c:pt idx="21">
                  <c:v>13578.5</c:v>
                </c:pt>
                <c:pt idx="22">
                  <c:v>13875</c:v>
                </c:pt>
                <c:pt idx="23">
                  <c:v>13875</c:v>
                </c:pt>
                <c:pt idx="24">
                  <c:v>14206.5</c:v>
                </c:pt>
                <c:pt idx="25">
                  <c:v>14256.5</c:v>
                </c:pt>
                <c:pt idx="26">
                  <c:v>14263.5</c:v>
                </c:pt>
                <c:pt idx="27">
                  <c:v>15739.5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F-4397-B1CA-DFCBDB0B936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-3299.5</c:v>
                </c:pt>
                <c:pt idx="2">
                  <c:v>-381.5</c:v>
                </c:pt>
                <c:pt idx="3">
                  <c:v>0</c:v>
                </c:pt>
                <c:pt idx="4">
                  <c:v>8468.5</c:v>
                </c:pt>
                <c:pt idx="5">
                  <c:v>11657</c:v>
                </c:pt>
                <c:pt idx="6">
                  <c:v>11689</c:v>
                </c:pt>
                <c:pt idx="7">
                  <c:v>11695</c:v>
                </c:pt>
                <c:pt idx="8">
                  <c:v>11698</c:v>
                </c:pt>
                <c:pt idx="9">
                  <c:v>12003.5</c:v>
                </c:pt>
                <c:pt idx="10">
                  <c:v>12038.5</c:v>
                </c:pt>
                <c:pt idx="11">
                  <c:v>12044.5</c:v>
                </c:pt>
                <c:pt idx="12">
                  <c:v>12076.5</c:v>
                </c:pt>
                <c:pt idx="13">
                  <c:v>13133</c:v>
                </c:pt>
                <c:pt idx="14">
                  <c:v>13144</c:v>
                </c:pt>
                <c:pt idx="15">
                  <c:v>13190</c:v>
                </c:pt>
                <c:pt idx="16">
                  <c:v>13225</c:v>
                </c:pt>
                <c:pt idx="17">
                  <c:v>13411.5</c:v>
                </c:pt>
                <c:pt idx="18">
                  <c:v>13500.5</c:v>
                </c:pt>
                <c:pt idx="19">
                  <c:v>13525.5</c:v>
                </c:pt>
                <c:pt idx="20">
                  <c:v>13546.5</c:v>
                </c:pt>
                <c:pt idx="21">
                  <c:v>13578.5</c:v>
                </c:pt>
                <c:pt idx="22">
                  <c:v>13875</c:v>
                </c:pt>
                <c:pt idx="23">
                  <c:v>13875</c:v>
                </c:pt>
                <c:pt idx="24">
                  <c:v>14206.5</c:v>
                </c:pt>
                <c:pt idx="25">
                  <c:v>14256.5</c:v>
                </c:pt>
                <c:pt idx="26">
                  <c:v>14263.5</c:v>
                </c:pt>
                <c:pt idx="27">
                  <c:v>15739.5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5">
                  <c:v>-4.0538000001106411E-2</c:v>
                </c:pt>
                <c:pt idx="6">
                  <c:v>-5.8260000005248003E-3</c:v>
                </c:pt>
                <c:pt idx="7">
                  <c:v>-1.5630000001692679E-2</c:v>
                </c:pt>
                <c:pt idx="8">
                  <c:v>-4.1532000002916902E-2</c:v>
                </c:pt>
                <c:pt idx="9">
                  <c:v>1.7809999990276992E-3</c:v>
                </c:pt>
                <c:pt idx="10">
                  <c:v>-3.0408999999053776E-2</c:v>
                </c:pt>
                <c:pt idx="11">
                  <c:v>-5.4212999995797873E-2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3F-4397-B1CA-DFCBDB0B936D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-3299.5</c:v>
                </c:pt>
                <c:pt idx="2">
                  <c:v>-381.5</c:v>
                </c:pt>
                <c:pt idx="3">
                  <c:v>0</c:v>
                </c:pt>
                <c:pt idx="4">
                  <c:v>8468.5</c:v>
                </c:pt>
                <c:pt idx="5">
                  <c:v>11657</c:v>
                </c:pt>
                <c:pt idx="6">
                  <c:v>11689</c:v>
                </c:pt>
                <c:pt idx="7">
                  <c:v>11695</c:v>
                </c:pt>
                <c:pt idx="8">
                  <c:v>11698</c:v>
                </c:pt>
                <c:pt idx="9">
                  <c:v>12003.5</c:v>
                </c:pt>
                <c:pt idx="10">
                  <c:v>12038.5</c:v>
                </c:pt>
                <c:pt idx="11">
                  <c:v>12044.5</c:v>
                </c:pt>
                <c:pt idx="12">
                  <c:v>12076.5</c:v>
                </c:pt>
                <c:pt idx="13">
                  <c:v>13133</c:v>
                </c:pt>
                <c:pt idx="14">
                  <c:v>13144</c:v>
                </c:pt>
                <c:pt idx="15">
                  <c:v>13190</c:v>
                </c:pt>
                <c:pt idx="16">
                  <c:v>13225</c:v>
                </c:pt>
                <c:pt idx="17">
                  <c:v>13411.5</c:v>
                </c:pt>
                <c:pt idx="18">
                  <c:v>13500.5</c:v>
                </c:pt>
                <c:pt idx="19">
                  <c:v>13525.5</c:v>
                </c:pt>
                <c:pt idx="20">
                  <c:v>13546.5</c:v>
                </c:pt>
                <c:pt idx="21">
                  <c:v>13578.5</c:v>
                </c:pt>
                <c:pt idx="22">
                  <c:v>13875</c:v>
                </c:pt>
                <c:pt idx="23">
                  <c:v>13875</c:v>
                </c:pt>
                <c:pt idx="24">
                  <c:v>14206.5</c:v>
                </c:pt>
                <c:pt idx="25">
                  <c:v>14256.5</c:v>
                </c:pt>
                <c:pt idx="26">
                  <c:v>14263.5</c:v>
                </c:pt>
                <c:pt idx="27">
                  <c:v>15739.5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  <c:pt idx="1">
                  <c:v>5.5883000000903849E-2</c:v>
                </c:pt>
                <c:pt idx="2">
                  <c:v>-2.4128999997628853E-2</c:v>
                </c:pt>
                <c:pt idx="3">
                  <c:v>0</c:v>
                </c:pt>
                <c:pt idx="4">
                  <c:v>-6.9028999998408835E-2</c:v>
                </c:pt>
                <c:pt idx="12">
                  <c:v>1.4989999981480651E-3</c:v>
                </c:pt>
                <c:pt idx="13">
                  <c:v>-4.3421999995189253E-2</c:v>
                </c:pt>
                <c:pt idx="14">
                  <c:v>9.0103999995335471E-2</c:v>
                </c:pt>
                <c:pt idx="15">
                  <c:v>3.5340000002179295E-2</c:v>
                </c:pt>
                <c:pt idx="16">
                  <c:v>-0.11794999999983702</c:v>
                </c:pt>
                <c:pt idx="17">
                  <c:v>-7.1590999999898486E-2</c:v>
                </c:pt>
                <c:pt idx="18">
                  <c:v>4.2682999999669846E-2</c:v>
                </c:pt>
                <c:pt idx="19">
                  <c:v>0.10263299999496667</c:v>
                </c:pt>
                <c:pt idx="20">
                  <c:v>-6.3809999992372468E-3</c:v>
                </c:pt>
                <c:pt idx="21">
                  <c:v>1.6731000003346708E-2</c:v>
                </c:pt>
                <c:pt idx="22">
                  <c:v>9.1950000001816079E-2</c:v>
                </c:pt>
                <c:pt idx="23">
                  <c:v>9.4949999998789281E-2</c:v>
                </c:pt>
                <c:pt idx="24">
                  <c:v>-1.6921000002184883E-2</c:v>
                </c:pt>
                <c:pt idx="25">
                  <c:v>0.10347899999760557</c:v>
                </c:pt>
                <c:pt idx="26">
                  <c:v>6.7941000001155771E-2</c:v>
                </c:pt>
                <c:pt idx="27">
                  <c:v>-5.8429999990039505E-3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3F-4397-B1CA-DFCBDB0B936D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-3299.5</c:v>
                </c:pt>
                <c:pt idx="2">
                  <c:v>-381.5</c:v>
                </c:pt>
                <c:pt idx="3">
                  <c:v>0</c:v>
                </c:pt>
                <c:pt idx="4">
                  <c:v>8468.5</c:v>
                </c:pt>
                <c:pt idx="5">
                  <c:v>11657</c:v>
                </c:pt>
                <c:pt idx="6">
                  <c:v>11689</c:v>
                </c:pt>
                <c:pt idx="7">
                  <c:v>11695</c:v>
                </c:pt>
                <c:pt idx="8">
                  <c:v>11698</c:v>
                </c:pt>
                <c:pt idx="9">
                  <c:v>12003.5</c:v>
                </c:pt>
                <c:pt idx="10">
                  <c:v>12038.5</c:v>
                </c:pt>
                <c:pt idx="11">
                  <c:v>12044.5</c:v>
                </c:pt>
                <c:pt idx="12">
                  <c:v>12076.5</c:v>
                </c:pt>
                <c:pt idx="13">
                  <c:v>13133</c:v>
                </c:pt>
                <c:pt idx="14">
                  <c:v>13144</c:v>
                </c:pt>
                <c:pt idx="15">
                  <c:v>13190</c:v>
                </c:pt>
                <c:pt idx="16">
                  <c:v>13225</c:v>
                </c:pt>
                <c:pt idx="17">
                  <c:v>13411.5</c:v>
                </c:pt>
                <c:pt idx="18">
                  <c:v>13500.5</c:v>
                </c:pt>
                <c:pt idx="19">
                  <c:v>13525.5</c:v>
                </c:pt>
                <c:pt idx="20">
                  <c:v>13546.5</c:v>
                </c:pt>
                <c:pt idx="21">
                  <c:v>13578.5</c:v>
                </c:pt>
                <c:pt idx="22">
                  <c:v>13875</c:v>
                </c:pt>
                <c:pt idx="23">
                  <c:v>13875</c:v>
                </c:pt>
                <c:pt idx="24">
                  <c:v>14206.5</c:v>
                </c:pt>
                <c:pt idx="25">
                  <c:v>14256.5</c:v>
                </c:pt>
                <c:pt idx="26">
                  <c:v>14263.5</c:v>
                </c:pt>
                <c:pt idx="27">
                  <c:v>15739.5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3F-4397-B1CA-DFCBDB0B936D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-3299.5</c:v>
                </c:pt>
                <c:pt idx="2">
                  <c:v>-381.5</c:v>
                </c:pt>
                <c:pt idx="3">
                  <c:v>0</c:v>
                </c:pt>
                <c:pt idx="4">
                  <c:v>8468.5</c:v>
                </c:pt>
                <c:pt idx="5">
                  <c:v>11657</c:v>
                </c:pt>
                <c:pt idx="6">
                  <c:v>11689</c:v>
                </c:pt>
                <c:pt idx="7">
                  <c:v>11695</c:v>
                </c:pt>
                <c:pt idx="8">
                  <c:v>11698</c:v>
                </c:pt>
                <c:pt idx="9">
                  <c:v>12003.5</c:v>
                </c:pt>
                <c:pt idx="10">
                  <c:v>12038.5</c:v>
                </c:pt>
                <c:pt idx="11">
                  <c:v>12044.5</c:v>
                </c:pt>
                <c:pt idx="12">
                  <c:v>12076.5</c:v>
                </c:pt>
                <c:pt idx="13">
                  <c:v>13133</c:v>
                </c:pt>
                <c:pt idx="14">
                  <c:v>13144</c:v>
                </c:pt>
                <c:pt idx="15">
                  <c:v>13190</c:v>
                </c:pt>
                <c:pt idx="16">
                  <c:v>13225</c:v>
                </c:pt>
                <c:pt idx="17">
                  <c:v>13411.5</c:v>
                </c:pt>
                <c:pt idx="18">
                  <c:v>13500.5</c:v>
                </c:pt>
                <c:pt idx="19">
                  <c:v>13525.5</c:v>
                </c:pt>
                <c:pt idx="20">
                  <c:v>13546.5</c:v>
                </c:pt>
                <c:pt idx="21">
                  <c:v>13578.5</c:v>
                </c:pt>
                <c:pt idx="22">
                  <c:v>13875</c:v>
                </c:pt>
                <c:pt idx="23">
                  <c:v>13875</c:v>
                </c:pt>
                <c:pt idx="24">
                  <c:v>14206.5</c:v>
                </c:pt>
                <c:pt idx="25">
                  <c:v>14256.5</c:v>
                </c:pt>
                <c:pt idx="26">
                  <c:v>14263.5</c:v>
                </c:pt>
                <c:pt idx="27">
                  <c:v>15739.5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3F-4397-B1CA-DFCBDB0B936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-3299.5</c:v>
                </c:pt>
                <c:pt idx="2">
                  <c:v>-381.5</c:v>
                </c:pt>
                <c:pt idx="3">
                  <c:v>0</c:v>
                </c:pt>
                <c:pt idx="4">
                  <c:v>8468.5</c:v>
                </c:pt>
                <c:pt idx="5">
                  <c:v>11657</c:v>
                </c:pt>
                <c:pt idx="6">
                  <c:v>11689</c:v>
                </c:pt>
                <c:pt idx="7">
                  <c:v>11695</c:v>
                </c:pt>
                <c:pt idx="8">
                  <c:v>11698</c:v>
                </c:pt>
                <c:pt idx="9">
                  <c:v>12003.5</c:v>
                </c:pt>
                <c:pt idx="10">
                  <c:v>12038.5</c:v>
                </c:pt>
                <c:pt idx="11">
                  <c:v>12044.5</c:v>
                </c:pt>
                <c:pt idx="12">
                  <c:v>12076.5</c:v>
                </c:pt>
                <c:pt idx="13">
                  <c:v>13133</c:v>
                </c:pt>
                <c:pt idx="14">
                  <c:v>13144</c:v>
                </c:pt>
                <c:pt idx="15">
                  <c:v>13190</c:v>
                </c:pt>
                <c:pt idx="16">
                  <c:v>13225</c:v>
                </c:pt>
                <c:pt idx="17">
                  <c:v>13411.5</c:v>
                </c:pt>
                <c:pt idx="18">
                  <c:v>13500.5</c:v>
                </c:pt>
                <c:pt idx="19">
                  <c:v>13525.5</c:v>
                </c:pt>
                <c:pt idx="20">
                  <c:v>13546.5</c:v>
                </c:pt>
                <c:pt idx="21">
                  <c:v>13578.5</c:v>
                </c:pt>
                <c:pt idx="22">
                  <c:v>13875</c:v>
                </c:pt>
                <c:pt idx="23">
                  <c:v>13875</c:v>
                </c:pt>
                <c:pt idx="24">
                  <c:v>14206.5</c:v>
                </c:pt>
                <c:pt idx="25">
                  <c:v>14256.5</c:v>
                </c:pt>
                <c:pt idx="26">
                  <c:v>14263.5</c:v>
                </c:pt>
                <c:pt idx="27">
                  <c:v>15739.5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3F-4397-B1CA-DFCBDB0B936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-3299.5</c:v>
                </c:pt>
                <c:pt idx="2">
                  <c:v>-381.5</c:v>
                </c:pt>
                <c:pt idx="3">
                  <c:v>0</c:v>
                </c:pt>
                <c:pt idx="4">
                  <c:v>8468.5</c:v>
                </c:pt>
                <c:pt idx="5">
                  <c:v>11657</c:v>
                </c:pt>
                <c:pt idx="6">
                  <c:v>11689</c:v>
                </c:pt>
                <c:pt idx="7">
                  <c:v>11695</c:v>
                </c:pt>
                <c:pt idx="8">
                  <c:v>11698</c:v>
                </c:pt>
                <c:pt idx="9">
                  <c:v>12003.5</c:v>
                </c:pt>
                <c:pt idx="10">
                  <c:v>12038.5</c:v>
                </c:pt>
                <c:pt idx="11">
                  <c:v>12044.5</c:v>
                </c:pt>
                <c:pt idx="12">
                  <c:v>12076.5</c:v>
                </c:pt>
                <c:pt idx="13">
                  <c:v>13133</c:v>
                </c:pt>
                <c:pt idx="14">
                  <c:v>13144</c:v>
                </c:pt>
                <c:pt idx="15">
                  <c:v>13190</c:v>
                </c:pt>
                <c:pt idx="16">
                  <c:v>13225</c:v>
                </c:pt>
                <c:pt idx="17">
                  <c:v>13411.5</c:v>
                </c:pt>
                <c:pt idx="18">
                  <c:v>13500.5</c:v>
                </c:pt>
                <c:pt idx="19">
                  <c:v>13525.5</c:v>
                </c:pt>
                <c:pt idx="20">
                  <c:v>13546.5</c:v>
                </c:pt>
                <c:pt idx="21">
                  <c:v>13578.5</c:v>
                </c:pt>
                <c:pt idx="22">
                  <c:v>13875</c:v>
                </c:pt>
                <c:pt idx="23">
                  <c:v>13875</c:v>
                </c:pt>
                <c:pt idx="24">
                  <c:v>14206.5</c:v>
                </c:pt>
                <c:pt idx="25">
                  <c:v>14256.5</c:v>
                </c:pt>
                <c:pt idx="26">
                  <c:v>14263.5</c:v>
                </c:pt>
                <c:pt idx="27">
                  <c:v>15739.5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3F-4397-B1CA-DFCBDB0B936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-3299.5</c:v>
                </c:pt>
                <c:pt idx="2">
                  <c:v>-381.5</c:v>
                </c:pt>
                <c:pt idx="3">
                  <c:v>0</c:v>
                </c:pt>
                <c:pt idx="4">
                  <c:v>8468.5</c:v>
                </c:pt>
                <c:pt idx="5">
                  <c:v>11657</c:v>
                </c:pt>
                <c:pt idx="6">
                  <c:v>11689</c:v>
                </c:pt>
                <c:pt idx="7">
                  <c:v>11695</c:v>
                </c:pt>
                <c:pt idx="8">
                  <c:v>11698</c:v>
                </c:pt>
                <c:pt idx="9">
                  <c:v>12003.5</c:v>
                </c:pt>
                <c:pt idx="10">
                  <c:v>12038.5</c:v>
                </c:pt>
                <c:pt idx="11">
                  <c:v>12044.5</c:v>
                </c:pt>
                <c:pt idx="12">
                  <c:v>12076.5</c:v>
                </c:pt>
                <c:pt idx="13">
                  <c:v>13133</c:v>
                </c:pt>
                <c:pt idx="14">
                  <c:v>13144</c:v>
                </c:pt>
                <c:pt idx="15">
                  <c:v>13190</c:v>
                </c:pt>
                <c:pt idx="16">
                  <c:v>13225</c:v>
                </c:pt>
                <c:pt idx="17">
                  <c:v>13411.5</c:v>
                </c:pt>
                <c:pt idx="18">
                  <c:v>13500.5</c:v>
                </c:pt>
                <c:pt idx="19">
                  <c:v>13525.5</c:v>
                </c:pt>
                <c:pt idx="20">
                  <c:v>13546.5</c:v>
                </c:pt>
                <c:pt idx="21">
                  <c:v>13578.5</c:v>
                </c:pt>
                <c:pt idx="22">
                  <c:v>13875</c:v>
                </c:pt>
                <c:pt idx="23">
                  <c:v>13875</c:v>
                </c:pt>
                <c:pt idx="24">
                  <c:v>14206.5</c:v>
                </c:pt>
                <c:pt idx="25">
                  <c:v>14256.5</c:v>
                </c:pt>
                <c:pt idx="26">
                  <c:v>14263.5</c:v>
                </c:pt>
                <c:pt idx="27">
                  <c:v>15739.5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-4.3299111036459821E-3</c:v>
                </c:pt>
                <c:pt idx="1">
                  <c:v>-7.3776325147479112E-3</c:v>
                </c:pt>
                <c:pt idx="2">
                  <c:v>-4.6822995619988797E-3</c:v>
                </c:pt>
                <c:pt idx="3">
                  <c:v>-4.3299111036459821E-3</c:v>
                </c:pt>
                <c:pt idx="4">
                  <c:v>3.4923737182714848E-3</c:v>
                </c:pt>
                <c:pt idx="5">
                  <c:v>6.4375653289090061E-3</c:v>
                </c:pt>
                <c:pt idx="6">
                  <c:v>6.4671234695834303E-3</c:v>
                </c:pt>
                <c:pt idx="7">
                  <c:v>6.472665620959884E-3</c:v>
                </c:pt>
                <c:pt idx="8">
                  <c:v>6.4754366966481127E-3</c:v>
                </c:pt>
                <c:pt idx="9">
                  <c:v>6.7576245708992526E-3</c:v>
                </c:pt>
                <c:pt idx="10">
                  <c:v>6.7899537872619037E-3</c:v>
                </c:pt>
                <c:pt idx="11">
                  <c:v>6.7954959386383592E-3</c:v>
                </c:pt>
                <c:pt idx="12">
                  <c:v>6.8250540793127817E-3</c:v>
                </c:pt>
                <c:pt idx="13">
                  <c:v>7.8009345675168094E-3</c:v>
                </c:pt>
                <c:pt idx="14">
                  <c:v>7.8110951783736437E-3</c:v>
                </c:pt>
                <c:pt idx="15">
                  <c:v>7.8535850055931264E-3</c:v>
                </c:pt>
                <c:pt idx="16">
                  <c:v>7.8859142219557775E-3</c:v>
                </c:pt>
                <c:pt idx="17">
                  <c:v>8.0581827605739065E-3</c:v>
                </c:pt>
                <c:pt idx="18">
                  <c:v>8.1403913393246485E-3</c:v>
                </c:pt>
                <c:pt idx="19">
                  <c:v>8.1634836367265422E-3</c:v>
                </c:pt>
                <c:pt idx="20">
                  <c:v>8.1828811665441321E-3</c:v>
                </c:pt>
                <c:pt idx="21">
                  <c:v>8.2124393072185546E-3</c:v>
                </c:pt>
                <c:pt idx="22">
                  <c:v>8.4863139544050156E-3</c:v>
                </c:pt>
                <c:pt idx="23">
                  <c:v>8.4863139544050156E-3</c:v>
                </c:pt>
                <c:pt idx="24">
                  <c:v>8.7925178179541243E-3</c:v>
                </c:pt>
                <c:pt idx="25">
                  <c:v>8.8387024127579115E-3</c:v>
                </c:pt>
                <c:pt idx="26">
                  <c:v>8.8451682560304438E-3</c:v>
                </c:pt>
                <c:pt idx="27">
                  <c:v>1.0208537494638247E-2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3F-4397-B1CA-DFCBDB0B9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937856"/>
        <c:axId val="1"/>
      </c:scatterChart>
      <c:valAx>
        <c:axId val="849937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9937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V1036 Cyg - O-C Diagr.</a:t>
            </a:r>
          </a:p>
        </c:rich>
      </c:tx>
      <c:layout>
        <c:manualLayout>
          <c:xMode val="edge"/>
          <c:yMode val="edge"/>
          <c:x val="0.3161159193943732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723926380368099"/>
          <c:w val="0.776860287864281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'C'!$F$21:$F$993</c:f>
              <c:numCache>
                <c:formatCode>General</c:formatCode>
                <c:ptCount val="973"/>
                <c:pt idx="0">
                  <c:v>-5901</c:v>
                </c:pt>
                <c:pt idx="1">
                  <c:v>-4853</c:v>
                </c:pt>
                <c:pt idx="2">
                  <c:v>-4716</c:v>
                </c:pt>
                <c:pt idx="3">
                  <c:v>-4716</c:v>
                </c:pt>
                <c:pt idx="4">
                  <c:v>-1675</c:v>
                </c:pt>
                <c:pt idx="5">
                  <c:v>-530</c:v>
                </c:pt>
                <c:pt idx="6">
                  <c:v>-518.5</c:v>
                </c:pt>
                <c:pt idx="7">
                  <c:v>-516.5</c:v>
                </c:pt>
                <c:pt idx="8">
                  <c:v>-515.5</c:v>
                </c:pt>
                <c:pt idx="9">
                  <c:v>-405.5</c:v>
                </c:pt>
                <c:pt idx="10">
                  <c:v>-393</c:v>
                </c:pt>
                <c:pt idx="11">
                  <c:v>-391</c:v>
                </c:pt>
                <c:pt idx="12">
                  <c:v>-379.5</c:v>
                </c:pt>
                <c:pt idx="13">
                  <c:v>0</c:v>
                </c:pt>
                <c:pt idx="14">
                  <c:v>4</c:v>
                </c:pt>
                <c:pt idx="15">
                  <c:v>20.5</c:v>
                </c:pt>
                <c:pt idx="16">
                  <c:v>33</c:v>
                </c:pt>
                <c:pt idx="17">
                  <c:v>100</c:v>
                </c:pt>
                <c:pt idx="18">
                  <c:v>132</c:v>
                </c:pt>
                <c:pt idx="19">
                  <c:v>141</c:v>
                </c:pt>
                <c:pt idx="20">
                  <c:v>148.5</c:v>
                </c:pt>
                <c:pt idx="21">
                  <c:v>160</c:v>
                </c:pt>
                <c:pt idx="22">
                  <c:v>266.5</c:v>
                </c:pt>
                <c:pt idx="23">
                  <c:v>266.5</c:v>
                </c:pt>
                <c:pt idx="24">
                  <c:v>385.5</c:v>
                </c:pt>
                <c:pt idx="25">
                  <c:v>403.5</c:v>
                </c:pt>
                <c:pt idx="26">
                  <c:v>406</c:v>
                </c:pt>
                <c:pt idx="27">
                  <c:v>859.5</c:v>
                </c:pt>
                <c:pt idx="28">
                  <c:v>899</c:v>
                </c:pt>
                <c:pt idx="29">
                  <c:v>936</c:v>
                </c:pt>
              </c:numCache>
            </c:numRef>
          </c:xVal>
          <c:yVal>
            <c:numRef>
              <c:f>'C'!$H$21:$H$993</c:f>
              <c:numCache>
                <c:formatCode>General</c:formatCode>
                <c:ptCount val="973"/>
                <c:pt idx="2">
                  <c:v>1.1809199997514952E-2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6C-4387-9496-3C6811FB471A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'C'!$D$21:$D$993</c:f>
                <c:numCache>
                  <c:formatCode>General</c:formatCode>
                  <c:ptCount val="9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plus>
            <c:minus>
              <c:numRef>
                <c:f>'C'!$D$21:$D$993</c:f>
                <c:numCache>
                  <c:formatCode>General</c:formatCode>
                  <c:ptCount val="9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-5901</c:v>
                </c:pt>
                <c:pt idx="1">
                  <c:v>-4853</c:v>
                </c:pt>
                <c:pt idx="2">
                  <c:v>-4716</c:v>
                </c:pt>
                <c:pt idx="3">
                  <c:v>-4716</c:v>
                </c:pt>
                <c:pt idx="4">
                  <c:v>-1675</c:v>
                </c:pt>
                <c:pt idx="5">
                  <c:v>-530</c:v>
                </c:pt>
                <c:pt idx="6">
                  <c:v>-518.5</c:v>
                </c:pt>
                <c:pt idx="7">
                  <c:v>-516.5</c:v>
                </c:pt>
                <c:pt idx="8">
                  <c:v>-515.5</c:v>
                </c:pt>
                <c:pt idx="9">
                  <c:v>-405.5</c:v>
                </c:pt>
                <c:pt idx="10">
                  <c:v>-393</c:v>
                </c:pt>
                <c:pt idx="11">
                  <c:v>-391</c:v>
                </c:pt>
                <c:pt idx="12">
                  <c:v>-379.5</c:v>
                </c:pt>
                <c:pt idx="13">
                  <c:v>0</c:v>
                </c:pt>
                <c:pt idx="14">
                  <c:v>4</c:v>
                </c:pt>
                <c:pt idx="15">
                  <c:v>20.5</c:v>
                </c:pt>
                <c:pt idx="16">
                  <c:v>33</c:v>
                </c:pt>
                <c:pt idx="17">
                  <c:v>100</c:v>
                </c:pt>
                <c:pt idx="18">
                  <c:v>132</c:v>
                </c:pt>
                <c:pt idx="19">
                  <c:v>141</c:v>
                </c:pt>
                <c:pt idx="20">
                  <c:v>148.5</c:v>
                </c:pt>
                <c:pt idx="21">
                  <c:v>160</c:v>
                </c:pt>
                <c:pt idx="22">
                  <c:v>266.5</c:v>
                </c:pt>
                <c:pt idx="23">
                  <c:v>266.5</c:v>
                </c:pt>
                <c:pt idx="24">
                  <c:v>385.5</c:v>
                </c:pt>
                <c:pt idx="25">
                  <c:v>403.5</c:v>
                </c:pt>
                <c:pt idx="26">
                  <c:v>406</c:v>
                </c:pt>
                <c:pt idx="27">
                  <c:v>859.5</c:v>
                </c:pt>
                <c:pt idx="28">
                  <c:v>899</c:v>
                </c:pt>
                <c:pt idx="29">
                  <c:v>936</c:v>
                </c:pt>
              </c:numCache>
            </c:numRef>
          </c:xVal>
          <c:yVal>
            <c:numRef>
              <c:f>'C'!$I$21:$I$993</c:f>
              <c:numCache>
                <c:formatCode>General</c:formatCode>
                <c:ptCount val="973"/>
                <c:pt idx="5">
                  <c:v>-6.6238999999768566E-2</c:v>
                </c:pt>
                <c:pt idx="6">
                  <c:v>-5.6321550000575371E-2</c:v>
                </c:pt>
                <c:pt idx="7">
                  <c:v>0.35194185000000289</c:v>
                </c:pt>
                <c:pt idx="8">
                  <c:v>0.54097814999840921</c:v>
                </c:pt>
                <c:pt idx="9">
                  <c:v>-0.22721964999800548</c:v>
                </c:pt>
                <c:pt idx="10">
                  <c:v>-6.9265899997844826E-2</c:v>
                </c:pt>
                <c:pt idx="11">
                  <c:v>0.33680670000467217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6C-4387-9496-3C6811FB471A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'C'!$D$21:$D$44</c:f>
                <c:numCache>
                  <c:formatCode>General</c:formatCode>
                  <c:ptCount val="24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</c:numCache>
              </c:numRef>
            </c:plus>
            <c:minus>
              <c:numRef>
                <c:f>'C'!$D$21:$D$44</c:f>
                <c:numCache>
                  <c:formatCode>General</c:formatCode>
                  <c:ptCount val="24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-5901</c:v>
                </c:pt>
                <c:pt idx="1">
                  <c:v>-4853</c:v>
                </c:pt>
                <c:pt idx="2">
                  <c:v>-4716</c:v>
                </c:pt>
                <c:pt idx="3">
                  <c:v>-4716</c:v>
                </c:pt>
                <c:pt idx="4">
                  <c:v>-1675</c:v>
                </c:pt>
                <c:pt idx="5">
                  <c:v>-530</c:v>
                </c:pt>
                <c:pt idx="6">
                  <c:v>-518.5</c:v>
                </c:pt>
                <c:pt idx="7">
                  <c:v>-516.5</c:v>
                </c:pt>
                <c:pt idx="8">
                  <c:v>-515.5</c:v>
                </c:pt>
                <c:pt idx="9">
                  <c:v>-405.5</c:v>
                </c:pt>
                <c:pt idx="10">
                  <c:v>-393</c:v>
                </c:pt>
                <c:pt idx="11">
                  <c:v>-391</c:v>
                </c:pt>
                <c:pt idx="12">
                  <c:v>-379.5</c:v>
                </c:pt>
                <c:pt idx="13">
                  <c:v>0</c:v>
                </c:pt>
                <c:pt idx="14">
                  <c:v>4</c:v>
                </c:pt>
                <c:pt idx="15">
                  <c:v>20.5</c:v>
                </c:pt>
                <c:pt idx="16">
                  <c:v>33</c:v>
                </c:pt>
                <c:pt idx="17">
                  <c:v>100</c:v>
                </c:pt>
                <c:pt idx="18">
                  <c:v>132</c:v>
                </c:pt>
                <c:pt idx="19">
                  <c:v>141</c:v>
                </c:pt>
                <c:pt idx="20">
                  <c:v>148.5</c:v>
                </c:pt>
                <c:pt idx="21">
                  <c:v>160</c:v>
                </c:pt>
                <c:pt idx="22">
                  <c:v>266.5</c:v>
                </c:pt>
                <c:pt idx="23">
                  <c:v>266.5</c:v>
                </c:pt>
                <c:pt idx="24">
                  <c:v>385.5</c:v>
                </c:pt>
                <c:pt idx="25">
                  <c:v>403.5</c:v>
                </c:pt>
                <c:pt idx="26">
                  <c:v>406</c:v>
                </c:pt>
                <c:pt idx="27">
                  <c:v>859.5</c:v>
                </c:pt>
                <c:pt idx="28">
                  <c:v>899</c:v>
                </c:pt>
                <c:pt idx="29">
                  <c:v>936</c:v>
                </c:pt>
              </c:numCache>
            </c:numRef>
          </c:xVal>
          <c:yVal>
            <c:numRef>
              <c:f>'C'!$J$21:$J$993</c:f>
              <c:numCache>
                <c:formatCode>General</c:formatCode>
                <c:ptCount val="973"/>
                <c:pt idx="0">
                  <c:v>0.50498450000304729</c:v>
                </c:pt>
                <c:pt idx="1">
                  <c:v>8.3610000001499429E-4</c:v>
                </c:pt>
                <c:pt idx="3">
                  <c:v>1.1809199997514952E-2</c:v>
                </c:pt>
                <c:pt idx="4">
                  <c:v>-3.5802500002318993E-2</c:v>
                </c:pt>
                <c:pt idx="12">
                  <c:v>0.36772414999722969</c:v>
                </c:pt>
                <c:pt idx="13">
                  <c:v>3.9000000033411197E-3</c:v>
                </c:pt>
                <c:pt idx="14">
                  <c:v>-1.4547999962815084E-3</c:v>
                </c:pt>
                <c:pt idx="15">
                  <c:v>-4.9558499958948232E-3</c:v>
                </c:pt>
                <c:pt idx="16">
                  <c:v>3.189790000760695E-2</c:v>
                </c:pt>
                <c:pt idx="17">
                  <c:v>-1.0699999984353781E-3</c:v>
                </c:pt>
                <c:pt idx="18">
                  <c:v>7.9160000314004719E-4</c:v>
                </c:pt>
                <c:pt idx="19">
                  <c:v>-2.0817000040551648E-3</c:v>
                </c:pt>
                <c:pt idx="20">
                  <c:v>2.9905499977758154E-3</c:v>
                </c:pt>
                <c:pt idx="21">
                  <c:v>1.3080000062473118E-3</c:v>
                </c:pt>
                <c:pt idx="22">
                  <c:v>-1.1260499959462322E-3</c:v>
                </c:pt>
                <c:pt idx="23">
                  <c:v>1.8739500010269694E-3</c:v>
                </c:pt>
                <c:pt idx="24">
                  <c:v>2.4936499976320192E-3</c:v>
                </c:pt>
                <c:pt idx="25">
                  <c:v>-2.7529500002856366E-3</c:v>
                </c:pt>
                <c:pt idx="26">
                  <c:v>-2.6219999563181773E-4</c:v>
                </c:pt>
                <c:pt idx="27">
                  <c:v>-5.0001499985228293E-3</c:v>
                </c:pt>
                <c:pt idx="28">
                  <c:v>-3.6629999522119761E-4</c:v>
                </c:pt>
                <c:pt idx="29">
                  <c:v>-1.0231999985990115E-3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6C-4387-9496-3C6811FB471A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'C'!$D$21:$D$93</c:f>
                <c:numCache>
                  <c:formatCode>General</c:formatCode>
                  <c:ptCount val="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plus>
            <c:minus>
              <c:numRef>
                <c:f>'C'!$D$21:$D$93</c:f>
                <c:numCache>
                  <c:formatCode>General</c:formatCode>
                  <c:ptCount val="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-5901</c:v>
                </c:pt>
                <c:pt idx="1">
                  <c:v>-4853</c:v>
                </c:pt>
                <c:pt idx="2">
                  <c:v>-4716</c:v>
                </c:pt>
                <c:pt idx="3">
                  <c:v>-4716</c:v>
                </c:pt>
                <c:pt idx="4">
                  <c:v>-1675</c:v>
                </c:pt>
                <c:pt idx="5">
                  <c:v>-530</c:v>
                </c:pt>
                <c:pt idx="6">
                  <c:v>-518.5</c:v>
                </c:pt>
                <c:pt idx="7">
                  <c:v>-516.5</c:v>
                </c:pt>
                <c:pt idx="8">
                  <c:v>-515.5</c:v>
                </c:pt>
                <c:pt idx="9">
                  <c:v>-405.5</c:v>
                </c:pt>
                <c:pt idx="10">
                  <c:v>-393</c:v>
                </c:pt>
                <c:pt idx="11">
                  <c:v>-391</c:v>
                </c:pt>
                <c:pt idx="12">
                  <c:v>-379.5</c:v>
                </c:pt>
                <c:pt idx="13">
                  <c:v>0</c:v>
                </c:pt>
                <c:pt idx="14">
                  <c:v>4</c:v>
                </c:pt>
                <c:pt idx="15">
                  <c:v>20.5</c:v>
                </c:pt>
                <c:pt idx="16">
                  <c:v>33</c:v>
                </c:pt>
                <c:pt idx="17">
                  <c:v>100</c:v>
                </c:pt>
                <c:pt idx="18">
                  <c:v>132</c:v>
                </c:pt>
                <c:pt idx="19">
                  <c:v>141</c:v>
                </c:pt>
                <c:pt idx="20">
                  <c:v>148.5</c:v>
                </c:pt>
                <c:pt idx="21">
                  <c:v>160</c:v>
                </c:pt>
                <c:pt idx="22">
                  <c:v>266.5</c:v>
                </c:pt>
                <c:pt idx="23">
                  <c:v>266.5</c:v>
                </c:pt>
                <c:pt idx="24">
                  <c:v>385.5</c:v>
                </c:pt>
                <c:pt idx="25">
                  <c:v>403.5</c:v>
                </c:pt>
                <c:pt idx="26">
                  <c:v>406</c:v>
                </c:pt>
                <c:pt idx="27">
                  <c:v>859.5</c:v>
                </c:pt>
                <c:pt idx="28">
                  <c:v>899</c:v>
                </c:pt>
                <c:pt idx="29">
                  <c:v>936</c:v>
                </c:pt>
              </c:numCache>
            </c:numRef>
          </c:xVal>
          <c:yVal>
            <c:numRef>
              <c:f>'C'!$K$21:$K$993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6C-4387-9496-3C6811FB471A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'C'!$D$21:$D$93</c:f>
                <c:numCache>
                  <c:formatCode>General</c:formatCode>
                  <c:ptCount val="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plus>
            <c:minus>
              <c:numRef>
                <c:f>'C'!$D$21:$D$93</c:f>
                <c:numCache>
                  <c:formatCode>General</c:formatCode>
                  <c:ptCount val="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-5901</c:v>
                </c:pt>
                <c:pt idx="1">
                  <c:v>-4853</c:v>
                </c:pt>
                <c:pt idx="2">
                  <c:v>-4716</c:v>
                </c:pt>
                <c:pt idx="3">
                  <c:v>-4716</c:v>
                </c:pt>
                <c:pt idx="4">
                  <c:v>-1675</c:v>
                </c:pt>
                <c:pt idx="5">
                  <c:v>-530</c:v>
                </c:pt>
                <c:pt idx="6">
                  <c:v>-518.5</c:v>
                </c:pt>
                <c:pt idx="7">
                  <c:v>-516.5</c:v>
                </c:pt>
                <c:pt idx="8">
                  <c:v>-515.5</c:v>
                </c:pt>
                <c:pt idx="9">
                  <c:v>-405.5</c:v>
                </c:pt>
                <c:pt idx="10">
                  <c:v>-393</c:v>
                </c:pt>
                <c:pt idx="11">
                  <c:v>-391</c:v>
                </c:pt>
                <c:pt idx="12">
                  <c:v>-379.5</c:v>
                </c:pt>
                <c:pt idx="13">
                  <c:v>0</c:v>
                </c:pt>
                <c:pt idx="14">
                  <c:v>4</c:v>
                </c:pt>
                <c:pt idx="15">
                  <c:v>20.5</c:v>
                </c:pt>
                <c:pt idx="16">
                  <c:v>33</c:v>
                </c:pt>
                <c:pt idx="17">
                  <c:v>100</c:v>
                </c:pt>
                <c:pt idx="18">
                  <c:v>132</c:v>
                </c:pt>
                <c:pt idx="19">
                  <c:v>141</c:v>
                </c:pt>
                <c:pt idx="20">
                  <c:v>148.5</c:v>
                </c:pt>
                <c:pt idx="21">
                  <c:v>160</c:v>
                </c:pt>
                <c:pt idx="22">
                  <c:v>266.5</c:v>
                </c:pt>
                <c:pt idx="23">
                  <c:v>266.5</c:v>
                </c:pt>
                <c:pt idx="24">
                  <c:v>385.5</c:v>
                </c:pt>
                <c:pt idx="25">
                  <c:v>403.5</c:v>
                </c:pt>
                <c:pt idx="26">
                  <c:v>406</c:v>
                </c:pt>
                <c:pt idx="27">
                  <c:v>859.5</c:v>
                </c:pt>
                <c:pt idx="28">
                  <c:v>899</c:v>
                </c:pt>
                <c:pt idx="29">
                  <c:v>936</c:v>
                </c:pt>
              </c:numCache>
            </c:numRef>
          </c:xVal>
          <c:yVal>
            <c:numRef>
              <c:f>'C'!$L$21:$L$993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6C-4387-9496-3C6811FB471A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'C'!$D$21:$D$93</c:f>
                <c:numCache>
                  <c:formatCode>General</c:formatCode>
                  <c:ptCount val="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plus>
            <c:minus>
              <c:numRef>
                <c:f>'C'!$D$21:$D$93</c:f>
                <c:numCache>
                  <c:formatCode>General</c:formatCode>
                  <c:ptCount val="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-5901</c:v>
                </c:pt>
                <c:pt idx="1">
                  <c:v>-4853</c:v>
                </c:pt>
                <c:pt idx="2">
                  <c:v>-4716</c:v>
                </c:pt>
                <c:pt idx="3">
                  <c:v>-4716</c:v>
                </c:pt>
                <c:pt idx="4">
                  <c:v>-1675</c:v>
                </c:pt>
                <c:pt idx="5">
                  <c:v>-530</c:v>
                </c:pt>
                <c:pt idx="6">
                  <c:v>-518.5</c:v>
                </c:pt>
                <c:pt idx="7">
                  <c:v>-516.5</c:v>
                </c:pt>
                <c:pt idx="8">
                  <c:v>-515.5</c:v>
                </c:pt>
                <c:pt idx="9">
                  <c:v>-405.5</c:v>
                </c:pt>
                <c:pt idx="10">
                  <c:v>-393</c:v>
                </c:pt>
                <c:pt idx="11">
                  <c:v>-391</c:v>
                </c:pt>
                <c:pt idx="12">
                  <c:v>-379.5</c:v>
                </c:pt>
                <c:pt idx="13">
                  <c:v>0</c:v>
                </c:pt>
                <c:pt idx="14">
                  <c:v>4</c:v>
                </c:pt>
                <c:pt idx="15">
                  <c:v>20.5</c:v>
                </c:pt>
                <c:pt idx="16">
                  <c:v>33</c:v>
                </c:pt>
                <c:pt idx="17">
                  <c:v>100</c:v>
                </c:pt>
                <c:pt idx="18">
                  <c:v>132</c:v>
                </c:pt>
                <c:pt idx="19">
                  <c:v>141</c:v>
                </c:pt>
                <c:pt idx="20">
                  <c:v>148.5</c:v>
                </c:pt>
                <c:pt idx="21">
                  <c:v>160</c:v>
                </c:pt>
                <c:pt idx="22">
                  <c:v>266.5</c:v>
                </c:pt>
                <c:pt idx="23">
                  <c:v>266.5</c:v>
                </c:pt>
                <c:pt idx="24">
                  <c:v>385.5</c:v>
                </c:pt>
                <c:pt idx="25">
                  <c:v>403.5</c:v>
                </c:pt>
                <c:pt idx="26">
                  <c:v>406</c:v>
                </c:pt>
                <c:pt idx="27">
                  <c:v>859.5</c:v>
                </c:pt>
                <c:pt idx="28">
                  <c:v>899</c:v>
                </c:pt>
                <c:pt idx="29">
                  <c:v>936</c:v>
                </c:pt>
              </c:numCache>
            </c:numRef>
          </c:xVal>
          <c:yVal>
            <c:numRef>
              <c:f>'C'!$M$21:$M$993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6C-4387-9496-3C6811FB471A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'C'!$D$21:$D$93</c:f>
                <c:numCache>
                  <c:formatCode>General</c:formatCode>
                  <c:ptCount val="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plus>
            <c:minus>
              <c:numRef>
                <c:f>'C'!$D$21:$D$93</c:f>
                <c:numCache>
                  <c:formatCode>General</c:formatCode>
                  <c:ptCount val="73"/>
                  <c:pt idx="2">
                    <c:v>0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6.0000000000000001E-3</c:v>
                  </c:pt>
                  <c:pt idx="10">
                    <c:v>7.0000000000000001E-3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27">
                    <c:v>5.9999999999999995E-4</c:v>
                  </c:pt>
                  <c:pt idx="28">
                    <c:v>1E-4</c:v>
                  </c:pt>
                  <c:pt idx="29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'C'!$F$21:$F$993</c:f>
              <c:numCache>
                <c:formatCode>General</c:formatCode>
                <c:ptCount val="973"/>
                <c:pt idx="0">
                  <c:v>-5901</c:v>
                </c:pt>
                <c:pt idx="1">
                  <c:v>-4853</c:v>
                </c:pt>
                <c:pt idx="2">
                  <c:v>-4716</c:v>
                </c:pt>
                <c:pt idx="3">
                  <c:v>-4716</c:v>
                </c:pt>
                <c:pt idx="4">
                  <c:v>-1675</c:v>
                </c:pt>
                <c:pt idx="5">
                  <c:v>-530</c:v>
                </c:pt>
                <c:pt idx="6">
                  <c:v>-518.5</c:v>
                </c:pt>
                <c:pt idx="7">
                  <c:v>-516.5</c:v>
                </c:pt>
                <c:pt idx="8">
                  <c:v>-515.5</c:v>
                </c:pt>
                <c:pt idx="9">
                  <c:v>-405.5</c:v>
                </c:pt>
                <c:pt idx="10">
                  <c:v>-393</c:v>
                </c:pt>
                <c:pt idx="11">
                  <c:v>-391</c:v>
                </c:pt>
                <c:pt idx="12">
                  <c:v>-379.5</c:v>
                </c:pt>
                <c:pt idx="13">
                  <c:v>0</c:v>
                </c:pt>
                <c:pt idx="14">
                  <c:v>4</c:v>
                </c:pt>
                <c:pt idx="15">
                  <c:v>20.5</c:v>
                </c:pt>
                <c:pt idx="16">
                  <c:v>33</c:v>
                </c:pt>
                <c:pt idx="17">
                  <c:v>100</c:v>
                </c:pt>
                <c:pt idx="18">
                  <c:v>132</c:v>
                </c:pt>
                <c:pt idx="19">
                  <c:v>141</c:v>
                </c:pt>
                <c:pt idx="20">
                  <c:v>148.5</c:v>
                </c:pt>
                <c:pt idx="21">
                  <c:v>160</c:v>
                </c:pt>
                <c:pt idx="22">
                  <c:v>266.5</c:v>
                </c:pt>
                <c:pt idx="23">
                  <c:v>266.5</c:v>
                </c:pt>
                <c:pt idx="24">
                  <c:v>385.5</c:v>
                </c:pt>
                <c:pt idx="25">
                  <c:v>403.5</c:v>
                </c:pt>
                <c:pt idx="26">
                  <c:v>406</c:v>
                </c:pt>
                <c:pt idx="27">
                  <c:v>859.5</c:v>
                </c:pt>
                <c:pt idx="28">
                  <c:v>899</c:v>
                </c:pt>
                <c:pt idx="29">
                  <c:v>936</c:v>
                </c:pt>
              </c:numCache>
            </c:numRef>
          </c:xVal>
          <c:yVal>
            <c:numRef>
              <c:f>'C'!$N$21:$N$993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6C-4387-9496-3C6811FB471A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'C'!$F$21:$F$993</c:f>
              <c:numCache>
                <c:formatCode>General</c:formatCode>
                <c:ptCount val="973"/>
                <c:pt idx="0">
                  <c:v>-5901</c:v>
                </c:pt>
                <c:pt idx="1">
                  <c:v>-4853</c:v>
                </c:pt>
                <c:pt idx="2">
                  <c:v>-4716</c:v>
                </c:pt>
                <c:pt idx="3">
                  <c:v>-4716</c:v>
                </c:pt>
                <c:pt idx="4">
                  <c:v>-1675</c:v>
                </c:pt>
                <c:pt idx="5">
                  <c:v>-530</c:v>
                </c:pt>
                <c:pt idx="6">
                  <c:v>-518.5</c:v>
                </c:pt>
                <c:pt idx="7">
                  <c:v>-516.5</c:v>
                </c:pt>
                <c:pt idx="8">
                  <c:v>-515.5</c:v>
                </c:pt>
                <c:pt idx="9">
                  <c:v>-405.5</c:v>
                </c:pt>
                <c:pt idx="10">
                  <c:v>-393</c:v>
                </c:pt>
                <c:pt idx="11">
                  <c:v>-391</c:v>
                </c:pt>
                <c:pt idx="12">
                  <c:v>-379.5</c:v>
                </c:pt>
                <c:pt idx="13">
                  <c:v>0</c:v>
                </c:pt>
                <c:pt idx="14">
                  <c:v>4</c:v>
                </c:pt>
                <c:pt idx="15">
                  <c:v>20.5</c:v>
                </c:pt>
                <c:pt idx="16">
                  <c:v>33</c:v>
                </c:pt>
                <c:pt idx="17">
                  <c:v>100</c:v>
                </c:pt>
                <c:pt idx="18">
                  <c:v>132</c:v>
                </c:pt>
                <c:pt idx="19">
                  <c:v>141</c:v>
                </c:pt>
                <c:pt idx="20">
                  <c:v>148.5</c:v>
                </c:pt>
                <c:pt idx="21">
                  <c:v>160</c:v>
                </c:pt>
                <c:pt idx="22">
                  <c:v>266.5</c:v>
                </c:pt>
                <c:pt idx="23">
                  <c:v>266.5</c:v>
                </c:pt>
                <c:pt idx="24">
                  <c:v>385.5</c:v>
                </c:pt>
                <c:pt idx="25">
                  <c:v>403.5</c:v>
                </c:pt>
                <c:pt idx="26">
                  <c:v>406</c:v>
                </c:pt>
                <c:pt idx="27">
                  <c:v>859.5</c:v>
                </c:pt>
                <c:pt idx="28">
                  <c:v>899</c:v>
                </c:pt>
                <c:pt idx="29">
                  <c:v>936</c:v>
                </c:pt>
              </c:numCache>
            </c:numRef>
          </c:xVal>
          <c:yVal>
            <c:numRef>
              <c:f>'C'!$O$21:$O$993</c:f>
              <c:numCache>
                <c:formatCode>General</c:formatCode>
                <c:ptCount val="973"/>
                <c:pt idx="0">
                  <c:v>-2.7643705376044214E-3</c:v>
                </c:pt>
                <c:pt idx="1">
                  <c:v>-3.6688651289308837E-3</c:v>
                </c:pt>
                <c:pt idx="2">
                  <c:v>-3.7871053569955076E-3</c:v>
                </c:pt>
                <c:pt idx="3">
                  <c:v>-3.7871053569955076E-3</c:v>
                </c:pt>
                <c:pt idx="4">
                  <c:v>-6.4116931930868933E-3</c:v>
                </c:pt>
                <c:pt idx="5">
                  <c:v>-7.3999053181525417E-3</c:v>
                </c:pt>
                <c:pt idx="6">
                  <c:v>-7.4098305927711048E-3</c:v>
                </c:pt>
                <c:pt idx="7">
                  <c:v>-7.4115567274873765E-3</c:v>
                </c:pt>
                <c:pt idx="8">
                  <c:v>-7.4124197948455131E-3</c:v>
                </c:pt>
                <c:pt idx="9">
                  <c:v>-7.5073572042404658E-3</c:v>
                </c:pt>
                <c:pt idx="10">
                  <c:v>-7.5181455462171648E-3</c:v>
                </c:pt>
                <c:pt idx="11">
                  <c:v>-7.5198716809334373E-3</c:v>
                </c:pt>
                <c:pt idx="12">
                  <c:v>-7.5297969555520004E-3</c:v>
                </c:pt>
                <c:pt idx="13">
                  <c:v>-7.8573310179645885E-3</c:v>
                </c:pt>
                <c:pt idx="14">
                  <c:v>-7.8607832873971318E-3</c:v>
                </c:pt>
                <c:pt idx="15">
                  <c:v>-7.8750238988063749E-3</c:v>
                </c:pt>
                <c:pt idx="16">
                  <c:v>-7.8858122407830748E-3</c:v>
                </c:pt>
                <c:pt idx="17">
                  <c:v>-7.9436377537781822E-3</c:v>
                </c:pt>
                <c:pt idx="18">
                  <c:v>-7.9712559092385317E-3</c:v>
                </c:pt>
                <c:pt idx="19">
                  <c:v>-7.9790235154617549E-3</c:v>
                </c:pt>
                <c:pt idx="20">
                  <c:v>-7.9854965206477748E-3</c:v>
                </c:pt>
                <c:pt idx="21">
                  <c:v>-7.995421795266338E-3</c:v>
                </c:pt>
                <c:pt idx="22">
                  <c:v>-8.0873384689078166E-3</c:v>
                </c:pt>
                <c:pt idx="23">
                  <c:v>-8.0873384689078166E-3</c:v>
                </c:pt>
                <c:pt idx="24">
                  <c:v>-8.1900434845259933E-3</c:v>
                </c:pt>
                <c:pt idx="25">
                  <c:v>-8.2055786969724397E-3</c:v>
                </c:pt>
                <c:pt idx="26">
                  <c:v>-8.2077363653677796E-3</c:v>
                </c:pt>
                <c:pt idx="27">
                  <c:v>-8.5991374122824267E-3</c:v>
                </c:pt>
                <c:pt idx="28">
                  <c:v>-8.6332285729287962E-3</c:v>
                </c:pt>
                <c:pt idx="29">
                  <c:v>-8.6651620651798256E-3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6C-4387-9496-3C6811FB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06248"/>
        <c:axId val="1"/>
      </c:scatterChart>
      <c:valAx>
        <c:axId val="662506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506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2024539877300615"/>
          <c:w val="0.99173662176525457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V1036 Cyg - O-C Diagr.</a:t>
            </a:r>
          </a:p>
        </c:rich>
      </c:tx>
      <c:layout>
        <c:manualLayout>
          <c:xMode val="edge"/>
          <c:yMode val="edge"/>
          <c:x val="0.3555198213859631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9361072380619"/>
          <c:y val="0.14723926380368099"/>
          <c:w val="0.8198058446360756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D!$F$21:$F$992</c:f>
              <c:numCache>
                <c:formatCode>General</c:formatCode>
                <c:ptCount val="972"/>
                <c:pt idx="0">
                  <c:v>-5901.5</c:v>
                </c:pt>
                <c:pt idx="1">
                  <c:v>-4853</c:v>
                </c:pt>
                <c:pt idx="2">
                  <c:v>-4716</c:v>
                </c:pt>
                <c:pt idx="3">
                  <c:v>-1675</c:v>
                </c:pt>
                <c:pt idx="4">
                  <c:v>-530</c:v>
                </c:pt>
                <c:pt idx="5">
                  <c:v>-518.5</c:v>
                </c:pt>
                <c:pt idx="6">
                  <c:v>-516.5</c:v>
                </c:pt>
                <c:pt idx="7">
                  <c:v>-515.5</c:v>
                </c:pt>
                <c:pt idx="8">
                  <c:v>-405.5</c:v>
                </c:pt>
                <c:pt idx="9">
                  <c:v>-393</c:v>
                </c:pt>
                <c:pt idx="10">
                  <c:v>-391</c:v>
                </c:pt>
                <c:pt idx="11">
                  <c:v>-379.5</c:v>
                </c:pt>
                <c:pt idx="12">
                  <c:v>0</c:v>
                </c:pt>
                <c:pt idx="13">
                  <c:v>4</c:v>
                </c:pt>
                <c:pt idx="14">
                  <c:v>20.5</c:v>
                </c:pt>
                <c:pt idx="15">
                  <c:v>33</c:v>
                </c:pt>
                <c:pt idx="16">
                  <c:v>100</c:v>
                </c:pt>
                <c:pt idx="17">
                  <c:v>132</c:v>
                </c:pt>
                <c:pt idx="18">
                  <c:v>141</c:v>
                </c:pt>
                <c:pt idx="19">
                  <c:v>148.5</c:v>
                </c:pt>
                <c:pt idx="20">
                  <c:v>160</c:v>
                </c:pt>
                <c:pt idx="21">
                  <c:v>266.5</c:v>
                </c:pt>
                <c:pt idx="22">
                  <c:v>266.5</c:v>
                </c:pt>
                <c:pt idx="23">
                  <c:v>385.5</c:v>
                </c:pt>
                <c:pt idx="24">
                  <c:v>403.5</c:v>
                </c:pt>
                <c:pt idx="25">
                  <c:v>406</c:v>
                </c:pt>
                <c:pt idx="26">
                  <c:v>859.5</c:v>
                </c:pt>
                <c:pt idx="27">
                  <c:v>899</c:v>
                </c:pt>
                <c:pt idx="28">
                  <c:v>936</c:v>
                </c:pt>
                <c:pt idx="29">
                  <c:v>1173</c:v>
                </c:pt>
                <c:pt idx="30">
                  <c:v>1617.5</c:v>
                </c:pt>
              </c:numCache>
            </c:numRef>
          </c:xVal>
          <c:yVal>
            <c:numRef>
              <c:f>D!$H$21:$H$992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62-4021-9F99-9B31B526D560}"/>
            </c:ext>
          </c:extLst>
        </c:ser>
        <c:ser>
          <c:idx val="1"/>
          <c:order val="1"/>
          <c:tx>
            <c:strRef>
              <c:f>D!$I$20:$I$20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D!$D$21:$D$992</c:f>
                <c:numCache>
                  <c:formatCode>General</c:formatCode>
                  <c:ptCount val="9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D!$D$21:$D$992</c:f>
                <c:numCache>
                  <c:formatCode>General</c:formatCode>
                  <c:ptCount val="9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-5901.5</c:v>
                </c:pt>
                <c:pt idx="1">
                  <c:v>-4853</c:v>
                </c:pt>
                <c:pt idx="2">
                  <c:v>-4716</c:v>
                </c:pt>
                <c:pt idx="3">
                  <c:v>-1675</c:v>
                </c:pt>
                <c:pt idx="4">
                  <c:v>-530</c:v>
                </c:pt>
                <c:pt idx="5">
                  <c:v>-518.5</c:v>
                </c:pt>
                <c:pt idx="6">
                  <c:v>-516.5</c:v>
                </c:pt>
                <c:pt idx="7">
                  <c:v>-515.5</c:v>
                </c:pt>
                <c:pt idx="8">
                  <c:v>-405.5</c:v>
                </c:pt>
                <c:pt idx="9">
                  <c:v>-393</c:v>
                </c:pt>
                <c:pt idx="10">
                  <c:v>-391</c:v>
                </c:pt>
                <c:pt idx="11">
                  <c:v>-379.5</c:v>
                </c:pt>
                <c:pt idx="12">
                  <c:v>0</c:v>
                </c:pt>
                <c:pt idx="13">
                  <c:v>4</c:v>
                </c:pt>
                <c:pt idx="14">
                  <c:v>20.5</c:v>
                </c:pt>
                <c:pt idx="15">
                  <c:v>33</c:v>
                </c:pt>
                <c:pt idx="16">
                  <c:v>100</c:v>
                </c:pt>
                <c:pt idx="17">
                  <c:v>132</c:v>
                </c:pt>
                <c:pt idx="18">
                  <c:v>141</c:v>
                </c:pt>
                <c:pt idx="19">
                  <c:v>148.5</c:v>
                </c:pt>
                <c:pt idx="20">
                  <c:v>160</c:v>
                </c:pt>
                <c:pt idx="21">
                  <c:v>266.5</c:v>
                </c:pt>
                <c:pt idx="22">
                  <c:v>266.5</c:v>
                </c:pt>
                <c:pt idx="23">
                  <c:v>385.5</c:v>
                </c:pt>
                <c:pt idx="24">
                  <c:v>403.5</c:v>
                </c:pt>
                <c:pt idx="25">
                  <c:v>406</c:v>
                </c:pt>
                <c:pt idx="26">
                  <c:v>859.5</c:v>
                </c:pt>
                <c:pt idx="27">
                  <c:v>899</c:v>
                </c:pt>
                <c:pt idx="28">
                  <c:v>936</c:v>
                </c:pt>
                <c:pt idx="29">
                  <c:v>1173</c:v>
                </c:pt>
                <c:pt idx="30">
                  <c:v>1617.5</c:v>
                </c:pt>
              </c:numCache>
            </c:numRef>
          </c:xVal>
          <c:yVal>
            <c:numRef>
              <c:f>D!$I$21:$I$992</c:f>
              <c:numCache>
                <c:formatCode>General</c:formatCode>
                <c:ptCount val="972"/>
                <c:pt idx="0">
                  <c:v>0.11499000000185333</c:v>
                </c:pt>
                <c:pt idx="1">
                  <c:v>-1.4730199999976321</c:v>
                </c:pt>
                <c:pt idx="2">
                  <c:v>-1.4204399999944144</c:v>
                </c:pt>
                <c:pt idx="4">
                  <c:v>-0.22720000000117579</c:v>
                </c:pt>
                <c:pt idx="5">
                  <c:v>-0.2137899999943329</c:v>
                </c:pt>
                <c:pt idx="6">
                  <c:v>0.20689000000129454</c:v>
                </c:pt>
                <c:pt idx="7">
                  <c:v>0.39622999999846797</c:v>
                </c:pt>
                <c:pt idx="8">
                  <c:v>-0.3503699999928358</c:v>
                </c:pt>
                <c:pt idx="9">
                  <c:v>-0.18862000000081025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62-4021-9F99-9B31B526D560}"/>
            </c:ext>
          </c:extLst>
        </c:ser>
        <c:ser>
          <c:idx val="3"/>
          <c:order val="2"/>
          <c:tx>
            <c:strRef>
              <c:f>D!$J$20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D!$D$21:$D$43</c:f>
                <c:numCache>
                  <c:formatCode>General</c:formatCode>
                  <c:ptCount val="23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</c:numCache>
              </c:numRef>
            </c:plus>
            <c:minus>
              <c:numRef>
                <c:f>D!$D$21:$D$43</c:f>
                <c:numCache>
                  <c:formatCode>General</c:formatCode>
                  <c:ptCount val="23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-5901.5</c:v>
                </c:pt>
                <c:pt idx="1">
                  <c:v>-4853</c:v>
                </c:pt>
                <c:pt idx="2">
                  <c:v>-4716</c:v>
                </c:pt>
                <c:pt idx="3">
                  <c:v>-1675</c:v>
                </c:pt>
                <c:pt idx="4">
                  <c:v>-530</c:v>
                </c:pt>
                <c:pt idx="5">
                  <c:v>-518.5</c:v>
                </c:pt>
                <c:pt idx="6">
                  <c:v>-516.5</c:v>
                </c:pt>
                <c:pt idx="7">
                  <c:v>-515.5</c:v>
                </c:pt>
                <c:pt idx="8">
                  <c:v>-405.5</c:v>
                </c:pt>
                <c:pt idx="9">
                  <c:v>-393</c:v>
                </c:pt>
                <c:pt idx="10">
                  <c:v>-391</c:v>
                </c:pt>
                <c:pt idx="11">
                  <c:v>-379.5</c:v>
                </c:pt>
                <c:pt idx="12">
                  <c:v>0</c:v>
                </c:pt>
                <c:pt idx="13">
                  <c:v>4</c:v>
                </c:pt>
                <c:pt idx="14">
                  <c:v>20.5</c:v>
                </c:pt>
                <c:pt idx="15">
                  <c:v>33</c:v>
                </c:pt>
                <c:pt idx="16">
                  <c:v>100</c:v>
                </c:pt>
                <c:pt idx="17">
                  <c:v>132</c:v>
                </c:pt>
                <c:pt idx="18">
                  <c:v>141</c:v>
                </c:pt>
                <c:pt idx="19">
                  <c:v>148.5</c:v>
                </c:pt>
                <c:pt idx="20">
                  <c:v>160</c:v>
                </c:pt>
                <c:pt idx="21">
                  <c:v>266.5</c:v>
                </c:pt>
                <c:pt idx="22">
                  <c:v>266.5</c:v>
                </c:pt>
                <c:pt idx="23">
                  <c:v>385.5</c:v>
                </c:pt>
                <c:pt idx="24">
                  <c:v>403.5</c:v>
                </c:pt>
                <c:pt idx="25">
                  <c:v>406</c:v>
                </c:pt>
                <c:pt idx="26">
                  <c:v>859.5</c:v>
                </c:pt>
                <c:pt idx="27">
                  <c:v>899</c:v>
                </c:pt>
                <c:pt idx="28">
                  <c:v>936</c:v>
                </c:pt>
                <c:pt idx="29">
                  <c:v>1173</c:v>
                </c:pt>
                <c:pt idx="30">
                  <c:v>1617.5</c:v>
                </c:pt>
              </c:numCache>
            </c:numRef>
          </c:xVal>
          <c:yVal>
            <c:numRef>
              <c:f>D!$J$21:$J$992</c:f>
              <c:numCache>
                <c:formatCode>General</c:formatCode>
                <c:ptCount val="972"/>
                <c:pt idx="3">
                  <c:v>-0.54450000000360887</c:v>
                </c:pt>
                <c:pt idx="10">
                  <c:v>0.21806000000651693</c:v>
                </c:pt>
                <c:pt idx="11">
                  <c:v>0.25246999999944819</c:v>
                </c:pt>
                <c:pt idx="12">
                  <c:v>3.9000000033411197E-3</c:v>
                </c:pt>
                <c:pt idx="13">
                  <c:v>-2.4000000121304765E-4</c:v>
                </c:pt>
                <c:pt idx="14">
                  <c:v>1.2700000006589107E-3</c:v>
                </c:pt>
                <c:pt idx="15">
                  <c:v>4.1920000003301539E-2</c:v>
                </c:pt>
                <c:pt idx="16">
                  <c:v>2.9300000001967419E-2</c:v>
                </c:pt>
                <c:pt idx="17">
                  <c:v>4.0880000000470318E-2</c:v>
                </c:pt>
                <c:pt idx="18">
                  <c:v>4.0739999996731058E-2</c:v>
                </c:pt>
                <c:pt idx="19">
                  <c:v>4.8089999996591359E-2</c:v>
                </c:pt>
                <c:pt idx="20">
                  <c:v>4.9900000005436596E-2</c:v>
                </c:pt>
                <c:pt idx="21">
                  <c:v>7.9810000002908055E-2</c:v>
                </c:pt>
                <c:pt idx="22">
                  <c:v>8.2809999999881256E-2</c:v>
                </c:pt>
                <c:pt idx="23">
                  <c:v>0.11956999999529216</c:v>
                </c:pt>
                <c:pt idx="24">
                  <c:v>0.11978999999701045</c:v>
                </c:pt>
                <c:pt idx="25">
                  <c:v>0.12304000000585802</c:v>
                </c:pt>
                <c:pt idx="26">
                  <c:v>0.25602999999682652</c:v>
                </c:pt>
                <c:pt idx="27">
                  <c:v>0.2726600000023609</c:v>
                </c:pt>
                <c:pt idx="28">
                  <c:v>0.2832399999970221</c:v>
                </c:pt>
                <c:pt idx="29">
                  <c:v>0.35921999999845866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62-4021-9F99-9B31B526D560}"/>
            </c:ext>
          </c:extLst>
        </c:ser>
        <c:ser>
          <c:idx val="4"/>
          <c:order val="3"/>
          <c:tx>
            <c:strRef>
              <c:f>D!$K$20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D!$D$21:$D$92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-5901.5</c:v>
                </c:pt>
                <c:pt idx="1">
                  <c:v>-4853</c:v>
                </c:pt>
                <c:pt idx="2">
                  <c:v>-4716</c:v>
                </c:pt>
                <c:pt idx="3">
                  <c:v>-1675</c:v>
                </c:pt>
                <c:pt idx="4">
                  <c:v>-530</c:v>
                </c:pt>
                <c:pt idx="5">
                  <c:v>-518.5</c:v>
                </c:pt>
                <c:pt idx="6">
                  <c:v>-516.5</c:v>
                </c:pt>
                <c:pt idx="7">
                  <c:v>-515.5</c:v>
                </c:pt>
                <c:pt idx="8">
                  <c:v>-405.5</c:v>
                </c:pt>
                <c:pt idx="9">
                  <c:v>-393</c:v>
                </c:pt>
                <c:pt idx="10">
                  <c:v>-391</c:v>
                </c:pt>
                <c:pt idx="11">
                  <c:v>-379.5</c:v>
                </c:pt>
                <c:pt idx="12">
                  <c:v>0</c:v>
                </c:pt>
                <c:pt idx="13">
                  <c:v>4</c:v>
                </c:pt>
                <c:pt idx="14">
                  <c:v>20.5</c:v>
                </c:pt>
                <c:pt idx="15">
                  <c:v>33</c:v>
                </c:pt>
                <c:pt idx="16">
                  <c:v>100</c:v>
                </c:pt>
                <c:pt idx="17">
                  <c:v>132</c:v>
                </c:pt>
                <c:pt idx="18">
                  <c:v>141</c:v>
                </c:pt>
                <c:pt idx="19">
                  <c:v>148.5</c:v>
                </c:pt>
                <c:pt idx="20">
                  <c:v>160</c:v>
                </c:pt>
                <c:pt idx="21">
                  <c:v>266.5</c:v>
                </c:pt>
                <c:pt idx="22">
                  <c:v>266.5</c:v>
                </c:pt>
                <c:pt idx="23">
                  <c:v>385.5</c:v>
                </c:pt>
                <c:pt idx="24">
                  <c:v>403.5</c:v>
                </c:pt>
                <c:pt idx="25">
                  <c:v>406</c:v>
                </c:pt>
                <c:pt idx="26">
                  <c:v>859.5</c:v>
                </c:pt>
                <c:pt idx="27">
                  <c:v>899</c:v>
                </c:pt>
                <c:pt idx="28">
                  <c:v>936</c:v>
                </c:pt>
                <c:pt idx="29">
                  <c:v>1173</c:v>
                </c:pt>
                <c:pt idx="30">
                  <c:v>1617.5</c:v>
                </c:pt>
              </c:numCache>
            </c:numRef>
          </c:xVal>
          <c:yVal>
            <c:numRef>
              <c:f>D!$K$21:$K$992</c:f>
              <c:numCache>
                <c:formatCode>General</c:formatCode>
                <c:ptCount val="972"/>
                <c:pt idx="30">
                  <c:v>0.49184999999852153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62-4021-9F99-9B31B526D560}"/>
            </c:ext>
          </c:extLst>
        </c:ser>
        <c:ser>
          <c:idx val="2"/>
          <c:order val="4"/>
          <c:tx>
            <c:strRef>
              <c:f>D!$L$20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D!$D$21:$D$92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-5901.5</c:v>
                </c:pt>
                <c:pt idx="1">
                  <c:v>-4853</c:v>
                </c:pt>
                <c:pt idx="2">
                  <c:v>-4716</c:v>
                </c:pt>
                <c:pt idx="3">
                  <c:v>-1675</c:v>
                </c:pt>
                <c:pt idx="4">
                  <c:v>-530</c:v>
                </c:pt>
                <c:pt idx="5">
                  <c:v>-518.5</c:v>
                </c:pt>
                <c:pt idx="6">
                  <c:v>-516.5</c:v>
                </c:pt>
                <c:pt idx="7">
                  <c:v>-515.5</c:v>
                </c:pt>
                <c:pt idx="8">
                  <c:v>-405.5</c:v>
                </c:pt>
                <c:pt idx="9">
                  <c:v>-393</c:v>
                </c:pt>
                <c:pt idx="10">
                  <c:v>-391</c:v>
                </c:pt>
                <c:pt idx="11">
                  <c:v>-379.5</c:v>
                </c:pt>
                <c:pt idx="12">
                  <c:v>0</c:v>
                </c:pt>
                <c:pt idx="13">
                  <c:v>4</c:v>
                </c:pt>
                <c:pt idx="14">
                  <c:v>20.5</c:v>
                </c:pt>
                <c:pt idx="15">
                  <c:v>33</c:v>
                </c:pt>
                <c:pt idx="16">
                  <c:v>100</c:v>
                </c:pt>
                <c:pt idx="17">
                  <c:v>132</c:v>
                </c:pt>
                <c:pt idx="18">
                  <c:v>141</c:v>
                </c:pt>
                <c:pt idx="19">
                  <c:v>148.5</c:v>
                </c:pt>
                <c:pt idx="20">
                  <c:v>160</c:v>
                </c:pt>
                <c:pt idx="21">
                  <c:v>266.5</c:v>
                </c:pt>
                <c:pt idx="22">
                  <c:v>266.5</c:v>
                </c:pt>
                <c:pt idx="23">
                  <c:v>385.5</c:v>
                </c:pt>
                <c:pt idx="24">
                  <c:v>403.5</c:v>
                </c:pt>
                <c:pt idx="25">
                  <c:v>406</c:v>
                </c:pt>
                <c:pt idx="26">
                  <c:v>859.5</c:v>
                </c:pt>
                <c:pt idx="27">
                  <c:v>899</c:v>
                </c:pt>
                <c:pt idx="28">
                  <c:v>936</c:v>
                </c:pt>
                <c:pt idx="29">
                  <c:v>1173</c:v>
                </c:pt>
                <c:pt idx="30">
                  <c:v>1617.5</c:v>
                </c:pt>
              </c:numCache>
            </c:numRef>
          </c:xVal>
          <c:yVal>
            <c:numRef>
              <c:f>D!$L$21:$L$992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62-4021-9F99-9B31B526D560}"/>
            </c:ext>
          </c:extLst>
        </c:ser>
        <c:ser>
          <c:idx val="5"/>
          <c:order val="5"/>
          <c:tx>
            <c:strRef>
              <c:f>D!$M$20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D!$D$21:$D$92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-5901.5</c:v>
                </c:pt>
                <c:pt idx="1">
                  <c:v>-4853</c:v>
                </c:pt>
                <c:pt idx="2">
                  <c:v>-4716</c:v>
                </c:pt>
                <c:pt idx="3">
                  <c:v>-1675</c:v>
                </c:pt>
                <c:pt idx="4">
                  <c:v>-530</c:v>
                </c:pt>
                <c:pt idx="5">
                  <c:v>-518.5</c:v>
                </c:pt>
                <c:pt idx="6">
                  <c:v>-516.5</c:v>
                </c:pt>
                <c:pt idx="7">
                  <c:v>-515.5</c:v>
                </c:pt>
                <c:pt idx="8">
                  <c:v>-405.5</c:v>
                </c:pt>
                <c:pt idx="9">
                  <c:v>-393</c:v>
                </c:pt>
                <c:pt idx="10">
                  <c:v>-391</c:v>
                </c:pt>
                <c:pt idx="11">
                  <c:v>-379.5</c:v>
                </c:pt>
                <c:pt idx="12">
                  <c:v>0</c:v>
                </c:pt>
                <c:pt idx="13">
                  <c:v>4</c:v>
                </c:pt>
                <c:pt idx="14">
                  <c:v>20.5</c:v>
                </c:pt>
                <c:pt idx="15">
                  <c:v>33</c:v>
                </c:pt>
                <c:pt idx="16">
                  <c:v>100</c:v>
                </c:pt>
                <c:pt idx="17">
                  <c:v>132</c:v>
                </c:pt>
                <c:pt idx="18">
                  <c:v>141</c:v>
                </c:pt>
                <c:pt idx="19">
                  <c:v>148.5</c:v>
                </c:pt>
                <c:pt idx="20">
                  <c:v>160</c:v>
                </c:pt>
                <c:pt idx="21">
                  <c:v>266.5</c:v>
                </c:pt>
                <c:pt idx="22">
                  <c:v>266.5</c:v>
                </c:pt>
                <c:pt idx="23">
                  <c:v>385.5</c:v>
                </c:pt>
                <c:pt idx="24">
                  <c:v>403.5</c:v>
                </c:pt>
                <c:pt idx="25">
                  <c:v>406</c:v>
                </c:pt>
                <c:pt idx="26">
                  <c:v>859.5</c:v>
                </c:pt>
                <c:pt idx="27">
                  <c:v>899</c:v>
                </c:pt>
                <c:pt idx="28">
                  <c:v>936</c:v>
                </c:pt>
                <c:pt idx="29">
                  <c:v>1173</c:v>
                </c:pt>
                <c:pt idx="30">
                  <c:v>1617.5</c:v>
                </c:pt>
              </c:numCache>
            </c:numRef>
          </c:xVal>
          <c:yVal>
            <c:numRef>
              <c:f>D!$M$21:$M$992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62-4021-9F99-9B31B526D560}"/>
            </c:ext>
          </c:extLst>
        </c:ser>
        <c:ser>
          <c:idx val="6"/>
          <c:order val="6"/>
          <c:tx>
            <c:strRef>
              <c:f>D!$N$20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D!$D$21:$D$92</c:f>
                <c:numCache>
                  <c:formatCode>General</c:formatCode>
                  <c:ptCount val="72"/>
                  <c:pt idx="2">
                    <c:v>0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4.0000000000000001E-3</c:v>
                  </c:pt>
                  <c:pt idx="7">
                    <c:v>4.0000000000000001E-3</c:v>
                  </c:pt>
                  <c:pt idx="8">
                    <c:v>6.0000000000000001E-3</c:v>
                  </c:pt>
                  <c:pt idx="9">
                    <c:v>7.0000000000000001E-3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26">
                    <c:v>5.9999999999999995E-4</c:v>
                  </c:pt>
                  <c:pt idx="27">
                    <c:v>1E-4</c:v>
                  </c:pt>
                  <c:pt idx="28">
                    <c:v>4.0000000000000001E-3</c:v>
                  </c:pt>
                  <c:pt idx="29">
                    <c:v>5.9999999999999995E-4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D!$F$21:$F$992</c:f>
              <c:numCache>
                <c:formatCode>General</c:formatCode>
                <c:ptCount val="972"/>
                <c:pt idx="0">
                  <c:v>-5901.5</c:v>
                </c:pt>
                <c:pt idx="1">
                  <c:v>-4853</c:v>
                </c:pt>
                <c:pt idx="2">
                  <c:v>-4716</c:v>
                </c:pt>
                <c:pt idx="3">
                  <c:v>-1675</c:v>
                </c:pt>
                <c:pt idx="4">
                  <c:v>-530</c:v>
                </c:pt>
                <c:pt idx="5">
                  <c:v>-518.5</c:v>
                </c:pt>
                <c:pt idx="6">
                  <c:v>-516.5</c:v>
                </c:pt>
                <c:pt idx="7">
                  <c:v>-515.5</c:v>
                </c:pt>
                <c:pt idx="8">
                  <c:v>-405.5</c:v>
                </c:pt>
                <c:pt idx="9">
                  <c:v>-393</c:v>
                </c:pt>
                <c:pt idx="10">
                  <c:v>-391</c:v>
                </c:pt>
                <c:pt idx="11">
                  <c:v>-379.5</c:v>
                </c:pt>
                <c:pt idx="12">
                  <c:v>0</c:v>
                </c:pt>
                <c:pt idx="13">
                  <c:v>4</c:v>
                </c:pt>
                <c:pt idx="14">
                  <c:v>20.5</c:v>
                </c:pt>
                <c:pt idx="15">
                  <c:v>33</c:v>
                </c:pt>
                <c:pt idx="16">
                  <c:v>100</c:v>
                </c:pt>
                <c:pt idx="17">
                  <c:v>132</c:v>
                </c:pt>
                <c:pt idx="18">
                  <c:v>141</c:v>
                </c:pt>
                <c:pt idx="19">
                  <c:v>148.5</c:v>
                </c:pt>
                <c:pt idx="20">
                  <c:v>160</c:v>
                </c:pt>
                <c:pt idx="21">
                  <c:v>266.5</c:v>
                </c:pt>
                <c:pt idx="22">
                  <c:v>266.5</c:v>
                </c:pt>
                <c:pt idx="23">
                  <c:v>385.5</c:v>
                </c:pt>
                <c:pt idx="24">
                  <c:v>403.5</c:v>
                </c:pt>
                <c:pt idx="25">
                  <c:v>406</c:v>
                </c:pt>
                <c:pt idx="26">
                  <c:v>859.5</c:v>
                </c:pt>
                <c:pt idx="27">
                  <c:v>899</c:v>
                </c:pt>
                <c:pt idx="28">
                  <c:v>936</c:v>
                </c:pt>
                <c:pt idx="29">
                  <c:v>1173</c:v>
                </c:pt>
                <c:pt idx="30">
                  <c:v>1617.5</c:v>
                </c:pt>
              </c:numCache>
            </c:numRef>
          </c:xVal>
          <c:yVal>
            <c:numRef>
              <c:f>D!$N$21:$N$992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62-4021-9F99-9B31B526D560}"/>
            </c:ext>
          </c:extLst>
        </c:ser>
        <c:ser>
          <c:idx val="7"/>
          <c:order val="7"/>
          <c:tx>
            <c:strRef>
              <c:f>D!$O$20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D!$F$21:$F$992</c:f>
              <c:numCache>
                <c:formatCode>General</c:formatCode>
                <c:ptCount val="972"/>
                <c:pt idx="0">
                  <c:v>-5901.5</c:v>
                </c:pt>
                <c:pt idx="1">
                  <c:v>-4853</c:v>
                </c:pt>
                <c:pt idx="2">
                  <c:v>-4716</c:v>
                </c:pt>
                <c:pt idx="3">
                  <c:v>-1675</c:v>
                </c:pt>
                <c:pt idx="4">
                  <c:v>-530</c:v>
                </c:pt>
                <c:pt idx="5">
                  <c:v>-518.5</c:v>
                </c:pt>
                <c:pt idx="6">
                  <c:v>-516.5</c:v>
                </c:pt>
                <c:pt idx="7">
                  <c:v>-515.5</c:v>
                </c:pt>
                <c:pt idx="8">
                  <c:v>-405.5</c:v>
                </c:pt>
                <c:pt idx="9">
                  <c:v>-393</c:v>
                </c:pt>
                <c:pt idx="10">
                  <c:v>-391</c:v>
                </c:pt>
                <c:pt idx="11">
                  <c:v>-379.5</c:v>
                </c:pt>
                <c:pt idx="12">
                  <c:v>0</c:v>
                </c:pt>
                <c:pt idx="13">
                  <c:v>4</c:v>
                </c:pt>
                <c:pt idx="14">
                  <c:v>20.5</c:v>
                </c:pt>
                <c:pt idx="15">
                  <c:v>33</c:v>
                </c:pt>
                <c:pt idx="16">
                  <c:v>100</c:v>
                </c:pt>
                <c:pt idx="17">
                  <c:v>132</c:v>
                </c:pt>
                <c:pt idx="18">
                  <c:v>141</c:v>
                </c:pt>
                <c:pt idx="19">
                  <c:v>148.5</c:v>
                </c:pt>
                <c:pt idx="20">
                  <c:v>160</c:v>
                </c:pt>
                <c:pt idx="21">
                  <c:v>266.5</c:v>
                </c:pt>
                <c:pt idx="22">
                  <c:v>266.5</c:v>
                </c:pt>
                <c:pt idx="23">
                  <c:v>385.5</c:v>
                </c:pt>
                <c:pt idx="24">
                  <c:v>403.5</c:v>
                </c:pt>
                <c:pt idx="25">
                  <c:v>406</c:v>
                </c:pt>
                <c:pt idx="26">
                  <c:v>859.5</c:v>
                </c:pt>
                <c:pt idx="27">
                  <c:v>899</c:v>
                </c:pt>
                <c:pt idx="28">
                  <c:v>936</c:v>
                </c:pt>
                <c:pt idx="29">
                  <c:v>1173</c:v>
                </c:pt>
                <c:pt idx="30">
                  <c:v>1617.5</c:v>
                </c:pt>
              </c:numCache>
            </c:numRef>
          </c:xVal>
          <c:yVal>
            <c:numRef>
              <c:f>D!$O$21:$O$992</c:f>
              <c:numCache>
                <c:formatCode>General</c:formatCode>
                <c:ptCount val="972"/>
                <c:pt idx="0">
                  <c:v>-1.8055605321556309</c:v>
                </c:pt>
                <c:pt idx="1">
                  <c:v>-1.4860616971500331</c:v>
                </c:pt>
                <c:pt idx="2">
                  <c:v>-1.4443150682556443</c:v>
                </c:pt>
                <c:pt idx="3">
                  <c:v>-0.51766179476778262</c:v>
                </c:pt>
                <c:pt idx="4">
                  <c:v>-0.16875748758475023</c:v>
                </c:pt>
                <c:pt idx="5">
                  <c:v>-0.165253208516973</c:v>
                </c:pt>
                <c:pt idx="6">
                  <c:v>-0.16464376867909875</c:v>
                </c:pt>
                <c:pt idx="7">
                  <c:v>-0.16433904876016159</c:v>
                </c:pt>
                <c:pt idx="8">
                  <c:v>-0.13081985767707549</c:v>
                </c:pt>
                <c:pt idx="9">
                  <c:v>-0.12701085869036116</c:v>
                </c:pt>
                <c:pt idx="10">
                  <c:v>-0.1264014188524869</c:v>
                </c:pt>
                <c:pt idx="11">
                  <c:v>-0.1228971397847097</c:v>
                </c:pt>
                <c:pt idx="12">
                  <c:v>-7.255930548062714E-3</c:v>
                </c:pt>
                <c:pt idx="13">
                  <c:v>-6.0370508723141293E-3</c:v>
                </c:pt>
                <c:pt idx="14">
                  <c:v>-1.0091722098512163E-3</c:v>
                </c:pt>
                <c:pt idx="15">
                  <c:v>2.7998267768631121E-3</c:v>
                </c:pt>
                <c:pt idx="16">
                  <c:v>2.321606134565191E-2</c:v>
                </c:pt>
                <c:pt idx="17">
                  <c:v>3.296709875164059E-2</c:v>
                </c:pt>
                <c:pt idx="18">
                  <c:v>3.5709578022074903E-2</c:v>
                </c:pt>
                <c:pt idx="19">
                  <c:v>3.7994977414103501E-2</c:v>
                </c:pt>
                <c:pt idx="20">
                  <c:v>4.1499256481880679E-2</c:v>
                </c:pt>
                <c:pt idx="21">
                  <c:v>7.395192784868676E-2</c:v>
                </c:pt>
                <c:pt idx="22">
                  <c:v>7.395192784868676E-2</c:v>
                </c:pt>
                <c:pt idx="23">
                  <c:v>0.11021359820220715</c:v>
                </c:pt>
                <c:pt idx="24">
                  <c:v>0.11569855674307579</c:v>
                </c:pt>
                <c:pt idx="25">
                  <c:v>0.11646035654041866</c:v>
                </c:pt>
                <c:pt idx="26">
                  <c:v>0.25465083977841446</c:v>
                </c:pt>
                <c:pt idx="27">
                  <c:v>0.26668727657643171</c:v>
                </c:pt>
                <c:pt idx="28">
                  <c:v>0.27796191357710615</c:v>
                </c:pt>
                <c:pt idx="29">
                  <c:v>0.35018053436520979</c:v>
                </c:pt>
                <c:pt idx="30">
                  <c:v>0.48562853833277131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62-4021-9F99-9B31B526D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054408"/>
        <c:axId val="1"/>
      </c:scatterChart>
      <c:valAx>
        <c:axId val="541054408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808603470020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32467532467532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05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935081978389064"/>
          <c:y val="0.92024539877300615"/>
          <c:w val="0.94805280021815452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333375</xdr:colOff>
      <xdr:row>18</xdr:row>
      <xdr:rowOff>19050</xdr:rowOff>
    </xdr:to>
    <xdr:graphicFrame macro="">
      <xdr:nvGraphicFramePr>
        <xdr:cNvPr id="58372" name="Chart 1">
          <a:extLst>
            <a:ext uri="{FF2B5EF4-FFF2-40B4-BE49-F238E27FC236}">
              <a16:creationId xmlns:a16="http://schemas.microsoft.com/office/drawing/2014/main" id="{E09AC530-B56B-595F-9FE0-07C35FC95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561975</xdr:colOff>
      <xdr:row>0</xdr:row>
      <xdr:rowOff>0</xdr:rowOff>
    </xdr:from>
    <xdr:to>
      <xdr:col>25</xdr:col>
      <xdr:colOff>295275</xdr:colOff>
      <xdr:row>18</xdr:row>
      <xdr:rowOff>28575</xdr:rowOff>
    </xdr:to>
    <xdr:graphicFrame macro="">
      <xdr:nvGraphicFramePr>
        <xdr:cNvPr id="58373" name="Chart 3">
          <a:extLst>
            <a:ext uri="{FF2B5EF4-FFF2-40B4-BE49-F238E27FC236}">
              <a16:creationId xmlns:a16="http://schemas.microsoft.com/office/drawing/2014/main" id="{0CE01468-1F24-A1B0-C473-08EC3B6B8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E59F9E-CB0F-FA1C-084E-724D57A3D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0A6F312B-1605-1BF6-0655-2990451AC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06BFDB8F-6BAB-1E82-C67F-5DD9F8CFC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14</xdr:col>
      <xdr:colOff>209550</xdr:colOff>
      <xdr:row>18</xdr:row>
      <xdr:rowOff>19050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A854D84A-B026-548F-74E8-A89A99AAE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41" TargetMode="External"/><Relationship Id="rId13" Type="http://schemas.openxmlformats.org/officeDocument/2006/relationships/hyperlink" Target="http://www.bav-astro.de/sfs/BAVM_link.php?BAVMnr=141" TargetMode="External"/><Relationship Id="rId18" Type="http://schemas.openxmlformats.org/officeDocument/2006/relationships/hyperlink" Target="http://www.bav-astro.de/sfs/BAVM_link.php?BAVMnr=172" TargetMode="External"/><Relationship Id="rId3" Type="http://schemas.openxmlformats.org/officeDocument/2006/relationships/hyperlink" Target="http://www.bav-astro.de/sfs/BAVM_link.php?BAVMnr=141" TargetMode="External"/><Relationship Id="rId21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bav-astro.de/sfs/BAVM_link.php?BAVMnr=141" TargetMode="External"/><Relationship Id="rId12" Type="http://schemas.openxmlformats.org/officeDocument/2006/relationships/hyperlink" Target="http://www.bav-astro.de/sfs/BAVM_link.php?BAVMnr=141" TargetMode="External"/><Relationship Id="rId17" Type="http://schemas.openxmlformats.org/officeDocument/2006/relationships/hyperlink" Target="http://www.bav-astro.de/sfs/BAVM_link.php?BAVMnr=172" TargetMode="External"/><Relationship Id="rId2" Type="http://schemas.openxmlformats.org/officeDocument/2006/relationships/hyperlink" Target="http://www.bav-astro.de/sfs/BAVM_link.php?BAVMnr=141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bav-astro.de/sfs/BAVM_link.php?BAVMnr=203" TargetMode="External"/><Relationship Id="rId1" Type="http://schemas.openxmlformats.org/officeDocument/2006/relationships/hyperlink" Target="http://www.bav-astro.de/sfs/BAVM_link.php?BAVMnr=141" TargetMode="External"/><Relationship Id="rId6" Type="http://schemas.openxmlformats.org/officeDocument/2006/relationships/hyperlink" Target="http://www.bav-astro.de/sfs/BAVM_link.php?BAVMnr=141" TargetMode="External"/><Relationship Id="rId11" Type="http://schemas.openxmlformats.org/officeDocument/2006/relationships/hyperlink" Target="http://www.bav-astro.de/sfs/BAVM_link.php?BAVMnr=141" TargetMode="External"/><Relationship Id="rId5" Type="http://schemas.openxmlformats.org/officeDocument/2006/relationships/hyperlink" Target="http://www.bav-astro.de/sfs/BAVM_link.php?BAVMnr=141" TargetMode="External"/><Relationship Id="rId15" Type="http://schemas.openxmlformats.org/officeDocument/2006/relationships/hyperlink" Target="http://www.bav-astro.de/sfs/BAVM_link.php?BAVMnr=141" TargetMode="External"/><Relationship Id="rId10" Type="http://schemas.openxmlformats.org/officeDocument/2006/relationships/hyperlink" Target="http://www.bav-astro.de/sfs/BAVM_link.php?BAVMnr=141" TargetMode="External"/><Relationship Id="rId19" Type="http://schemas.openxmlformats.org/officeDocument/2006/relationships/hyperlink" Target="http://www.konkoly.hu/cgi-bin/IBVS?5713" TargetMode="External"/><Relationship Id="rId4" Type="http://schemas.openxmlformats.org/officeDocument/2006/relationships/hyperlink" Target="http://www.bav-astro.de/sfs/BAVM_link.php?BAVMnr=141" TargetMode="External"/><Relationship Id="rId9" Type="http://schemas.openxmlformats.org/officeDocument/2006/relationships/hyperlink" Target="http://www.bav-astro.de/sfs/BAVM_link.php?BAVMnr=141" TargetMode="External"/><Relationship Id="rId14" Type="http://schemas.openxmlformats.org/officeDocument/2006/relationships/hyperlink" Target="http://www.bav-astro.de/sfs/BAVM_link.php?BAVMnr=141" TargetMode="External"/><Relationship Id="rId22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583"/>
  <sheetViews>
    <sheetView tabSelected="1" workbookViewId="0">
      <pane xSplit="13" ySplit="21" topLeftCell="N37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12.425781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3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64</v>
      </c>
      <c r="C1" s="14"/>
    </row>
    <row r="2" spans="1:6">
      <c r="A2" t="s">
        <v>26</v>
      </c>
      <c r="B2" s="24" t="s">
        <v>59</v>
      </c>
      <c r="C2" s="30" t="s">
        <v>60</v>
      </c>
    </row>
    <row r="3" spans="1:6" ht="13.5" thickBot="1"/>
    <row r="4" spans="1:6" ht="14.25" thickTop="1" thickBot="1">
      <c r="A4" s="8" t="s">
        <v>0</v>
      </c>
      <c r="C4" s="18">
        <v>37189.377</v>
      </c>
      <c r="D4" s="19">
        <v>0.74412</v>
      </c>
    </row>
    <row r="5" spans="1:6" ht="13.5" thickTop="1">
      <c r="A5" s="46" t="s">
        <v>67</v>
      </c>
      <c r="B5" s="15"/>
      <c r="C5" s="47">
        <v>-9.5</v>
      </c>
      <c r="D5" s="15" t="s">
        <v>68</v>
      </c>
    </row>
    <row r="6" spans="1:6">
      <c r="A6" s="8" t="s">
        <v>1</v>
      </c>
    </row>
    <row r="7" spans="1:6">
      <c r="A7" t="s">
        <v>2</v>
      </c>
      <c r="C7">
        <v>54801.20269617837</v>
      </c>
      <c r="D7" s="17" t="s">
        <v>50</v>
      </c>
    </row>
    <row r="8" spans="1:6">
      <c r="A8" t="s">
        <v>3</v>
      </c>
      <c r="C8">
        <v>2.7809647199189373</v>
      </c>
      <c r="D8" s="20">
        <v>5204</v>
      </c>
    </row>
    <row r="9" spans="1:6">
      <c r="A9" s="57" t="s">
        <v>72</v>
      </c>
      <c r="B9" s="58">
        <v>33</v>
      </c>
      <c r="C9" s="49" t="str">
        <f>"F"&amp;B9</f>
        <v>F33</v>
      </c>
      <c r="D9" s="17" t="str">
        <f>"G"&amp;B9</f>
        <v>G33</v>
      </c>
    </row>
    <row r="10" spans="1:6" ht="13.5" thickBot="1">
      <c r="A10" s="15"/>
      <c r="B10" s="15"/>
      <c r="C10" s="7" t="s">
        <v>21</v>
      </c>
      <c r="D10" s="7" t="s">
        <v>22</v>
      </c>
      <c r="E10" s="15"/>
    </row>
    <row r="11" spans="1:6">
      <c r="A11" s="15" t="s">
        <v>16</v>
      </c>
      <c r="B11" s="15"/>
      <c r="C11" s="48">
        <f ca="1">INTERCEPT(INDIRECT($D$9):G992,INDIRECT($C$9):F992)</f>
        <v>5.4547620905354031E-3</v>
      </c>
      <c r="D11" s="6"/>
      <c r="E11" s="15"/>
    </row>
    <row r="12" spans="1:6">
      <c r="A12" s="15" t="s">
        <v>17</v>
      </c>
      <c r="B12" s="15"/>
      <c r="C12" s="48">
        <f ca="1">SLOPE(INDIRECT($D$9):G992,INDIRECT($C$9):F992)</f>
        <v>-7.8625453552605217E-7</v>
      </c>
      <c r="D12" s="6"/>
      <c r="E12" s="15"/>
    </row>
    <row r="13" spans="1:6">
      <c r="A13" s="15" t="s">
        <v>20</v>
      </c>
      <c r="B13" s="15"/>
      <c r="C13" s="6" t="s">
        <v>14</v>
      </c>
    </row>
    <row r="14" spans="1:6">
      <c r="A14" s="15"/>
      <c r="B14" s="15"/>
      <c r="C14" s="15"/>
    </row>
    <row r="15" spans="1:6">
      <c r="A15" s="50" t="s">
        <v>18</v>
      </c>
      <c r="B15" s="15"/>
      <c r="C15" s="20">
        <f ca="1">(C7+C11)+(C8+C12)*INT(MAX(F21:F3533))</f>
        <v>58024.345350057498</v>
      </c>
      <c r="E15" s="6"/>
      <c r="F15" s="15"/>
    </row>
    <row r="16" spans="1:6">
      <c r="A16" s="53" t="s">
        <v>4</v>
      </c>
      <c r="B16" s="15"/>
      <c r="C16" s="31">
        <f ca="1">+C8+C12</f>
        <v>2.7809639336644016</v>
      </c>
      <c r="E16" s="15"/>
      <c r="F16" s="15"/>
    </row>
    <row r="17" spans="1:21" ht="13.5" thickBot="1">
      <c r="A17" s="51" t="s">
        <v>62</v>
      </c>
      <c r="B17" s="15"/>
      <c r="C17" s="15">
        <f>COUNT(C21:C2191)</f>
        <v>37</v>
      </c>
      <c r="E17" s="51" t="s">
        <v>69</v>
      </c>
      <c r="F17" s="52">
        <f ca="1">TODAY()+15018.5-B5/24</f>
        <v>60344.5</v>
      </c>
    </row>
    <row r="18" spans="1:21" ht="14.25" thickTop="1" thickBot="1">
      <c r="A18" s="53" t="s">
        <v>5</v>
      </c>
      <c r="B18" s="15"/>
      <c r="C18" s="55">
        <f ca="1">+C15</f>
        <v>58024.345350057498</v>
      </c>
      <c r="D18" s="56">
        <f ca="1">+C16</f>
        <v>2.7809639336644016</v>
      </c>
      <c r="E18" s="51" t="s">
        <v>70</v>
      </c>
      <c r="F18" s="52">
        <f ca="1">ROUND(2*(F17-C15)/C16,0)/2+1</f>
        <v>835.5</v>
      </c>
    </row>
    <row r="19" spans="1:21" ht="13.5" thickTop="1">
      <c r="E19" s="51" t="s">
        <v>71</v>
      </c>
      <c r="F19" s="54">
        <f ca="1">+C15+C16*F18-15018.5-C5/24</f>
        <v>45329.736549967442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29" t="s">
        <v>11</v>
      </c>
      <c r="H20" s="10" t="s">
        <v>41</v>
      </c>
      <c r="I20" s="10" t="s">
        <v>83</v>
      </c>
      <c r="J20" s="10" t="s">
        <v>78</v>
      </c>
      <c r="K20" s="10" t="s">
        <v>75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U20" s="77" t="s">
        <v>216</v>
      </c>
    </row>
    <row r="21" spans="1:21" s="33" customFormat="1">
      <c r="A21" s="33" t="s">
        <v>42</v>
      </c>
      <c r="B21" s="34"/>
      <c r="C21" s="35">
        <v>33894.44</v>
      </c>
      <c r="D21" s="35"/>
      <c r="E21" s="36">
        <f t="shared" ref="E21:E56" si="0">+(C21-C$7)/C$8</f>
        <v>-7517.809394139952</v>
      </c>
      <c r="F21" s="36">
        <f t="shared" ref="F21:F57" si="1">ROUND(2*E21,0)/2</f>
        <v>-7518</v>
      </c>
      <c r="H21" s="36"/>
      <c r="K21" s="36">
        <f>+U21</f>
        <v>0.53006817220011726</v>
      </c>
      <c r="O21" s="33">
        <f t="shared" ref="O21:O56" ca="1" si="2">+C$11+C$12*F21</f>
        <v>1.1365823688620262E-2</v>
      </c>
      <c r="Q21" s="37">
        <f t="shared" ref="Q21:Q56" si="3">+C21-15018.5</f>
        <v>18875.940000000002</v>
      </c>
      <c r="R21" s="33">
        <f ca="1">(U21-O21)^2</f>
        <v>0.26905212635134246</v>
      </c>
      <c r="U21" s="35">
        <f>+C21-(C$7+F21*C$8)</f>
        <v>0.53006817220011726</v>
      </c>
    </row>
    <row r="22" spans="1:21" s="33" customFormat="1">
      <c r="A22" s="33" t="s">
        <v>42</v>
      </c>
      <c r="B22" s="34"/>
      <c r="C22" s="35">
        <v>36808.374000000003</v>
      </c>
      <c r="D22" s="35"/>
      <c r="E22" s="36">
        <f t="shared" si="0"/>
        <v>-6469.9953103694324</v>
      </c>
      <c r="F22" s="36">
        <f t="shared" si="1"/>
        <v>-6470</v>
      </c>
      <c r="G22" s="35">
        <f>+C22-(C$7+F22*C$8)</f>
        <v>1.3041697158769239E-2</v>
      </c>
      <c r="H22" s="36"/>
      <c r="K22" s="36">
        <f>+G22</f>
        <v>1.3041697158769239E-2</v>
      </c>
      <c r="O22" s="33">
        <f t="shared" ca="1" si="2"/>
        <v>1.054182893538896E-2</v>
      </c>
      <c r="Q22" s="37">
        <f t="shared" si="3"/>
        <v>21789.874000000003</v>
      </c>
      <c r="R22" s="33">
        <f ca="1">(G22-O22)^2</f>
        <v>6.2493411342664697E-6</v>
      </c>
      <c r="S22" s="33">
        <f t="shared" ref="S22:S46" si="4">+C22-C$22</f>
        <v>0</v>
      </c>
      <c r="T22" s="33">
        <f t="shared" ref="T22:T46" si="5">C22-C21</f>
        <v>2913.9340000000011</v>
      </c>
    </row>
    <row r="23" spans="1:21" s="33" customFormat="1">
      <c r="A23" s="33" t="s">
        <v>42</v>
      </c>
      <c r="B23" s="34"/>
      <c r="C23" s="35">
        <v>37189.377</v>
      </c>
      <c r="D23" s="35" t="s">
        <v>14</v>
      </c>
      <c r="E23" s="36">
        <f t="shared" si="0"/>
        <v>-6332.9914148251901</v>
      </c>
      <c r="F23" s="36">
        <f t="shared" si="1"/>
        <v>-6333</v>
      </c>
      <c r="G23" s="35">
        <f>+C23-(C$7+F23*C$8)</f>
        <v>2.3875068261986598E-2</v>
      </c>
      <c r="H23" s="36"/>
      <c r="K23" s="36">
        <f>+G23</f>
        <v>2.3875068261986598E-2</v>
      </c>
      <c r="O23" s="33">
        <f t="shared" ca="1" si="2"/>
        <v>1.0434112064021891E-2</v>
      </c>
      <c r="Q23" s="37">
        <f t="shared" si="3"/>
        <v>22170.877</v>
      </c>
      <c r="R23" s="33">
        <f ca="1">(G23-O23)^2</f>
        <v>1.8065930351560588E-4</v>
      </c>
      <c r="S23" s="33">
        <f t="shared" si="4"/>
        <v>381.00299999999697</v>
      </c>
      <c r="T23" s="33">
        <f t="shared" si="5"/>
        <v>381.00299999999697</v>
      </c>
    </row>
    <row r="24" spans="1:21" s="33" customFormat="1">
      <c r="A24" s="33" t="s">
        <v>42</v>
      </c>
      <c r="B24" s="34"/>
      <c r="C24" s="35">
        <v>45646.239999999998</v>
      </c>
      <c r="D24" s="35"/>
      <c r="E24" s="36">
        <f t="shared" si="0"/>
        <v>-3292.009650681664</v>
      </c>
      <c r="F24" s="36">
        <f t="shared" si="1"/>
        <v>-3292</v>
      </c>
      <c r="G24" s="35">
        <f>+C24-(C$7+F24*C$8)</f>
        <v>-2.6838205230887979E-2</v>
      </c>
      <c r="H24" s="36"/>
      <c r="I24" s="36"/>
      <c r="K24" s="36">
        <f>+G24</f>
        <v>-2.6838205230887979E-2</v>
      </c>
      <c r="O24" s="33">
        <f t="shared" ca="1" si="2"/>
        <v>8.0431120214871678E-3</v>
      </c>
      <c r="Q24" s="37">
        <f t="shared" si="3"/>
        <v>30627.739999999998</v>
      </c>
      <c r="R24" s="33">
        <f ca="1">(G24-O24)^2</f>
        <v>1.2167062932608439E-3</v>
      </c>
      <c r="S24" s="33">
        <f t="shared" si="4"/>
        <v>8837.8659999999945</v>
      </c>
      <c r="T24" s="33">
        <f t="shared" si="5"/>
        <v>8456.8629999999976</v>
      </c>
    </row>
    <row r="25" spans="1:21" s="33" customFormat="1">
      <c r="A25" s="33" t="s">
        <v>32</v>
      </c>
      <c r="C25" s="35">
        <v>48830.413</v>
      </c>
      <c r="D25" s="35">
        <v>5.0000000000000001E-3</v>
      </c>
      <c r="E25" s="36">
        <f t="shared" si="0"/>
        <v>-2147.0210151937536</v>
      </c>
      <c r="F25" s="36">
        <f t="shared" si="1"/>
        <v>-2147</v>
      </c>
      <c r="H25" s="36"/>
      <c r="I25" s="36"/>
      <c r="J25" s="36"/>
      <c r="K25" s="36"/>
      <c r="O25" s="33">
        <f t="shared" ca="1" si="2"/>
        <v>7.1428505783098367E-3</v>
      </c>
      <c r="Q25" s="37">
        <f t="shared" si="3"/>
        <v>33811.913</v>
      </c>
      <c r="R25" s="33">
        <f t="shared" ref="R25:R32" ca="1" si="6">(U25-O25)^2</f>
        <v>4.3014398383992465E-3</v>
      </c>
      <c r="S25" s="33">
        <f t="shared" si="4"/>
        <v>12022.038999999997</v>
      </c>
      <c r="T25" s="33">
        <f t="shared" si="5"/>
        <v>3184.1730000000025</v>
      </c>
      <c r="U25" s="35">
        <f t="shared" ref="U25:U32" si="7">+C25-(C$7+F25*C$8)</f>
        <v>-5.8442512410692871E-2</v>
      </c>
    </row>
    <row r="26" spans="1:21" s="33" customFormat="1">
      <c r="A26" s="33" t="s">
        <v>32</v>
      </c>
      <c r="C26" s="35">
        <v>48862.404000000002</v>
      </c>
      <c r="D26" s="35">
        <v>5.0000000000000001E-3</v>
      </c>
      <c r="E26" s="36">
        <f t="shared" si="0"/>
        <v>-2135.5174532208662</v>
      </c>
      <c r="F26" s="36">
        <f t="shared" si="1"/>
        <v>-2135.5</v>
      </c>
      <c r="H26" s="36"/>
      <c r="I26" s="36"/>
      <c r="J26" s="36"/>
      <c r="K26" s="36"/>
      <c r="O26" s="33">
        <f t="shared" ca="1" si="2"/>
        <v>7.1338086511512876E-3</v>
      </c>
      <c r="Q26" s="37">
        <f t="shared" si="3"/>
        <v>33843.904000000002</v>
      </c>
      <c r="R26" s="33">
        <f t="shared" ca="1" si="6"/>
        <v>3.0992157182335319E-3</v>
      </c>
      <c r="S26" s="33">
        <f t="shared" si="4"/>
        <v>12054.029999999999</v>
      </c>
      <c r="T26" s="33">
        <f t="shared" si="5"/>
        <v>31.991000000001804</v>
      </c>
      <c r="U26" s="35">
        <f t="shared" si="7"/>
        <v>-4.8536791473452467E-2</v>
      </c>
    </row>
    <row r="27" spans="1:21" s="33" customFormat="1">
      <c r="A27" s="33" t="s">
        <v>32</v>
      </c>
      <c r="C27" s="35">
        <v>48868.385999999999</v>
      </c>
      <c r="D27" s="35">
        <v>4.0000000000000001E-3</v>
      </c>
      <c r="E27" s="36">
        <f t="shared" si="0"/>
        <v>-2133.3664011211577</v>
      </c>
      <c r="F27" s="36">
        <f t="shared" si="1"/>
        <v>-2133.5</v>
      </c>
      <c r="H27" s="36"/>
      <c r="I27" s="36"/>
      <c r="J27" s="36"/>
      <c r="K27" s="36"/>
      <c r="O27" s="33">
        <f t="shared" ca="1" si="2"/>
        <v>7.1322361420802357E-3</v>
      </c>
      <c r="Q27" s="37">
        <f t="shared" si="3"/>
        <v>33849.885999999999</v>
      </c>
      <c r="R27" s="33">
        <f t="shared" ca="1" si="6"/>
        <v>0.13278847691658205</v>
      </c>
      <c r="S27" s="33">
        <f t="shared" si="4"/>
        <v>12060.011999999995</v>
      </c>
      <c r="T27" s="33">
        <f t="shared" si="5"/>
        <v>5.9819999999963329</v>
      </c>
      <c r="U27" s="35">
        <f t="shared" si="7"/>
        <v>0.37153376868081978</v>
      </c>
    </row>
    <row r="28" spans="1:21" s="33" customFormat="1">
      <c r="A28" s="33" t="s">
        <v>32</v>
      </c>
      <c r="C28" s="35">
        <v>48871.356</v>
      </c>
      <c r="D28" s="35">
        <v>4.0000000000000001E-3</v>
      </c>
      <c r="E28" s="36">
        <f t="shared" si="0"/>
        <v>-2132.2984264076604</v>
      </c>
      <c r="F28" s="36">
        <f t="shared" si="1"/>
        <v>-2132.5</v>
      </c>
      <c r="H28" s="36"/>
      <c r="I28" s="36"/>
      <c r="J28" s="36"/>
      <c r="K28" s="36"/>
      <c r="O28" s="33">
        <f t="shared" ca="1" si="2"/>
        <v>7.1314498875447094E-3</v>
      </c>
      <c r="Q28" s="37">
        <f t="shared" si="3"/>
        <v>33852.856</v>
      </c>
      <c r="R28" s="33">
        <f t="shared" ca="1" si="6"/>
        <v>0.30629317585079108</v>
      </c>
      <c r="S28" s="33">
        <f t="shared" si="4"/>
        <v>12062.981999999996</v>
      </c>
      <c r="T28" s="33">
        <f t="shared" si="5"/>
        <v>2.9700000000011642</v>
      </c>
      <c r="U28" s="35">
        <f t="shared" si="7"/>
        <v>0.56056904876459157</v>
      </c>
    </row>
    <row r="29" spans="1:21" s="33" customFormat="1">
      <c r="A29" s="33" t="s">
        <v>34</v>
      </c>
      <c r="C29" s="35">
        <v>49176.482000000004</v>
      </c>
      <c r="D29" s="35">
        <v>6.0000000000000001E-3</v>
      </c>
      <c r="E29" s="36">
        <f t="shared" si="0"/>
        <v>-2022.5789474748613</v>
      </c>
      <c r="F29" s="36">
        <f t="shared" si="1"/>
        <v>-2022.5</v>
      </c>
      <c r="H29" s="36"/>
      <c r="I29" s="36"/>
      <c r="J29" s="36"/>
      <c r="K29" s="36"/>
      <c r="O29" s="33">
        <f t="shared" ca="1" si="2"/>
        <v>7.0449618886368436E-3</v>
      </c>
      <c r="Q29" s="37">
        <f t="shared" si="3"/>
        <v>34157.982000000004</v>
      </c>
      <c r="R29" s="33">
        <f t="shared" ca="1" si="6"/>
        <v>5.1345341247730623E-2</v>
      </c>
      <c r="S29" s="33">
        <f t="shared" si="4"/>
        <v>12368.108</v>
      </c>
      <c r="T29" s="33">
        <f t="shared" si="5"/>
        <v>305.12600000000384</v>
      </c>
      <c r="U29" s="35">
        <f t="shared" si="7"/>
        <v>-0.21955014231207315</v>
      </c>
    </row>
    <row r="30" spans="1:21" s="33" customFormat="1">
      <c r="A30" s="33" t="s">
        <v>35</v>
      </c>
      <c r="C30" s="35">
        <v>49211.402000000002</v>
      </c>
      <c r="D30" s="35">
        <v>7.0000000000000001E-3</v>
      </c>
      <c r="E30" s="36">
        <f t="shared" si="0"/>
        <v>-2010.0221538737487</v>
      </c>
      <c r="F30" s="36">
        <f t="shared" si="1"/>
        <v>-2010</v>
      </c>
      <c r="H30" s="36"/>
      <c r="I30" s="36"/>
      <c r="J30" s="36"/>
      <c r="K30" s="36"/>
      <c r="O30" s="33">
        <f t="shared" ca="1" si="2"/>
        <v>7.0351337069427681E-3</v>
      </c>
      <c r="Q30" s="37">
        <f t="shared" si="3"/>
        <v>34192.902000000002</v>
      </c>
      <c r="R30" s="33">
        <f t="shared" ca="1" si="6"/>
        <v>4.7120364916477548E-3</v>
      </c>
      <c r="S30" s="33">
        <f t="shared" si="4"/>
        <v>12403.027999999998</v>
      </c>
      <c r="T30" s="33">
        <f t="shared" si="5"/>
        <v>34.919999999998254</v>
      </c>
      <c r="U30" s="35">
        <f t="shared" si="7"/>
        <v>-6.1609141303051729E-2</v>
      </c>
    </row>
    <row r="31" spans="1:21" s="33" customFormat="1">
      <c r="A31" s="33" t="s">
        <v>35</v>
      </c>
      <c r="C31" s="35">
        <v>49217.37</v>
      </c>
      <c r="D31" s="35">
        <v>5.0000000000000001E-3</v>
      </c>
      <c r="E31" s="36">
        <f t="shared" si="0"/>
        <v>-2007.8761359982775</v>
      </c>
      <c r="F31" s="36">
        <f t="shared" si="1"/>
        <v>-2008</v>
      </c>
      <c r="H31" s="36"/>
      <c r="I31" s="36"/>
      <c r="K31" s="36"/>
      <c r="O31" s="33">
        <f t="shared" ca="1" si="2"/>
        <v>7.0335611978717162E-3</v>
      </c>
      <c r="Q31" s="37">
        <f t="shared" si="3"/>
        <v>34198.870000000003</v>
      </c>
      <c r="R31" s="33">
        <f t="shared" ca="1" si="6"/>
        <v>0.11385755912351402</v>
      </c>
      <c r="S31" s="33">
        <f t="shared" si="4"/>
        <v>12408.995999999999</v>
      </c>
      <c r="T31" s="33">
        <f t="shared" si="5"/>
        <v>5.9680000000007567</v>
      </c>
      <c r="U31" s="35">
        <f t="shared" si="7"/>
        <v>0.3444614188556443</v>
      </c>
    </row>
    <row r="32" spans="1:21" s="33" customFormat="1">
      <c r="A32" s="33" t="s">
        <v>35</v>
      </c>
      <c r="C32" s="35">
        <v>49249.381999999998</v>
      </c>
      <c r="D32" s="35">
        <v>5.0000000000000001E-3</v>
      </c>
      <c r="E32" s="36">
        <f t="shared" si="0"/>
        <v>-1996.365022689034</v>
      </c>
      <c r="F32" s="36">
        <f t="shared" si="1"/>
        <v>-1996.5</v>
      </c>
      <c r="H32" s="36"/>
      <c r="I32" s="36"/>
      <c r="K32" s="36"/>
      <c r="O32" s="33">
        <f t="shared" ca="1" si="2"/>
        <v>7.0245192707131662E-3</v>
      </c>
      <c r="Q32" s="37">
        <f t="shared" si="3"/>
        <v>34230.881999999998</v>
      </c>
      <c r="R32" s="33">
        <f t="shared" ca="1" si="6"/>
        <v>0.13567628608825205</v>
      </c>
      <c r="S32" s="33">
        <f t="shared" si="4"/>
        <v>12441.007999999994</v>
      </c>
      <c r="T32" s="33">
        <f t="shared" si="5"/>
        <v>32.011999999995169</v>
      </c>
      <c r="U32" s="35">
        <f t="shared" si="7"/>
        <v>0.37536713978624903</v>
      </c>
    </row>
    <row r="33" spans="1:21" s="33" customFormat="1">
      <c r="A33" s="33" t="s">
        <v>42</v>
      </c>
      <c r="B33" s="34"/>
      <c r="C33" s="38">
        <v>50304.393900000003</v>
      </c>
      <c r="D33" s="38"/>
      <c r="E33" s="33">
        <f t="shared" si="0"/>
        <v>-1616.9959884674286</v>
      </c>
      <c r="F33" s="33">
        <f t="shared" si="1"/>
        <v>-1617</v>
      </c>
      <c r="G33" s="38">
        <f>+C33-(C$7+F33*C$8)</f>
        <v>1.1155930551467463E-2</v>
      </c>
      <c r="K33" s="33">
        <f>+G33</f>
        <v>1.1155930551467463E-2</v>
      </c>
      <c r="O33" s="33">
        <f t="shared" ca="1" si="2"/>
        <v>6.7261356744810295E-3</v>
      </c>
      <c r="Q33" s="37">
        <f t="shared" si="3"/>
        <v>35285.893900000003</v>
      </c>
      <c r="R33" s="33">
        <f t="shared" ref="R33:R46" ca="1" si="8">(G33-O33)^2</f>
        <v>1.9623082652175257E-5</v>
      </c>
      <c r="S33" s="33">
        <f t="shared" si="4"/>
        <v>13496.019899999999</v>
      </c>
      <c r="T33" s="33">
        <f t="shared" si="5"/>
        <v>1055.011900000005</v>
      </c>
    </row>
    <row r="34" spans="1:21" s="33" customFormat="1">
      <c r="A34" s="33" t="s">
        <v>42</v>
      </c>
      <c r="B34" s="34"/>
      <c r="C34" s="38">
        <v>50315.5124</v>
      </c>
      <c r="D34" s="38"/>
      <c r="E34" s="33">
        <f t="shared" si="0"/>
        <v>-1612.9979154532837</v>
      </c>
      <c r="F34" s="33">
        <f t="shared" si="1"/>
        <v>-1613</v>
      </c>
      <c r="G34" s="38">
        <f>+C34-(C$7+F34*C$8)</f>
        <v>5.7970508714788593E-3</v>
      </c>
      <c r="K34" s="33">
        <f>+G34</f>
        <v>5.7970508714788593E-3</v>
      </c>
      <c r="O34" s="33">
        <f t="shared" ca="1" si="2"/>
        <v>6.7229906563389258E-3</v>
      </c>
      <c r="Q34" s="37">
        <f t="shared" si="3"/>
        <v>35297.0124</v>
      </c>
      <c r="R34" s="33">
        <f t="shared" ca="1" si="8"/>
        <v>8.5736448518670614E-7</v>
      </c>
      <c r="S34" s="33">
        <f t="shared" si="4"/>
        <v>13507.138399999996</v>
      </c>
      <c r="T34" s="33">
        <f t="shared" si="5"/>
        <v>11.118499999996857</v>
      </c>
    </row>
    <row r="35" spans="1:21" s="33" customFormat="1">
      <c r="A35" s="33" t="s">
        <v>42</v>
      </c>
      <c r="B35" s="34"/>
      <c r="C35" s="38">
        <v>50361.394800000002</v>
      </c>
      <c r="D35" s="38"/>
      <c r="E35" s="33">
        <f t="shared" si="0"/>
        <v>-1596.4991804382851</v>
      </c>
      <c r="F35" s="33">
        <f t="shared" si="1"/>
        <v>-1596.5</v>
      </c>
      <c r="G35" s="38">
        <f>+C35-(C$7+F35*C$8)</f>
        <v>2.2791722149122506E-3</v>
      </c>
      <c r="K35" s="33">
        <f>+G35</f>
        <v>2.2791722149122506E-3</v>
      </c>
      <c r="O35" s="33">
        <f t="shared" ca="1" si="2"/>
        <v>6.7100174565027457E-3</v>
      </c>
      <c r="Q35" s="37">
        <f t="shared" si="3"/>
        <v>35342.894800000002</v>
      </c>
      <c r="R35" s="33">
        <f t="shared" ca="1" si="8"/>
        <v>1.9632389554925133E-5</v>
      </c>
      <c r="S35" s="33">
        <f t="shared" si="4"/>
        <v>13553.020799999998</v>
      </c>
      <c r="T35" s="33">
        <f t="shared" si="5"/>
        <v>45.882400000002235</v>
      </c>
    </row>
    <row r="36" spans="1:21" s="33" customFormat="1">
      <c r="A36" s="33" t="s">
        <v>42</v>
      </c>
      <c r="B36" s="34"/>
      <c r="C36" s="38">
        <v>50396.193700000003</v>
      </c>
      <c r="D36" s="38"/>
      <c r="E36" s="33">
        <f t="shared" si="0"/>
        <v>-1583.9859328768359</v>
      </c>
      <c r="F36" s="33">
        <f t="shared" si="1"/>
        <v>-1584</v>
      </c>
      <c r="G36" s="38"/>
      <c r="O36" s="33">
        <f t="shared" ca="1" si="2"/>
        <v>6.7001892748086694E-3</v>
      </c>
      <c r="Q36" s="37">
        <f t="shared" si="3"/>
        <v>35377.693700000003</v>
      </c>
      <c r="R36" s="33">
        <f t="shared" ca="1" si="8"/>
        <v>4.489253631826112E-5</v>
      </c>
      <c r="S36" s="33">
        <f t="shared" si="4"/>
        <v>13587.8197</v>
      </c>
      <c r="T36" s="33">
        <f t="shared" si="5"/>
        <v>34.798900000001595</v>
      </c>
      <c r="U36" s="61">
        <v>3.912017322727479E-2</v>
      </c>
    </row>
    <row r="37" spans="1:21" s="33" customFormat="1">
      <c r="A37" s="33" t="s">
        <v>42</v>
      </c>
      <c r="B37" s="34"/>
      <c r="C37" s="38">
        <v>50582.4853</v>
      </c>
      <c r="D37" s="38"/>
      <c r="E37" s="33">
        <f t="shared" si="0"/>
        <v>-1516.9978122920388</v>
      </c>
      <c r="F37" s="33">
        <f t="shared" si="1"/>
        <v>-1517</v>
      </c>
      <c r="G37" s="38">
        <f t="shared" ref="G37:G56" si="9">+C37-(C$7+F37*C$8)</f>
        <v>6.0839386569568887E-3</v>
      </c>
      <c r="K37" s="33">
        <f t="shared" ref="K37:K47" si="10">+G37</f>
        <v>6.0839386569568887E-3</v>
      </c>
      <c r="O37" s="33">
        <f t="shared" ca="1" si="2"/>
        <v>6.6475102209284246E-3</v>
      </c>
      <c r="Q37" s="37">
        <f t="shared" si="3"/>
        <v>35563.9853</v>
      </c>
      <c r="R37" s="33">
        <f t="shared" ca="1" si="8"/>
        <v>3.1761290771732288E-7</v>
      </c>
      <c r="S37" s="33">
        <f t="shared" si="4"/>
        <v>13774.111299999997</v>
      </c>
      <c r="T37" s="33">
        <f t="shared" si="5"/>
        <v>186.29159999999683</v>
      </c>
    </row>
    <row r="38" spans="1:21" s="33" customFormat="1">
      <c r="A38" s="33" t="s">
        <v>42</v>
      </c>
      <c r="B38" s="34"/>
      <c r="C38" s="38">
        <v>50671.478000000003</v>
      </c>
      <c r="D38" s="38"/>
      <c r="E38" s="33">
        <f t="shared" si="0"/>
        <v>-1484.9971546200504</v>
      </c>
      <c r="F38" s="33">
        <f t="shared" si="1"/>
        <v>-1485</v>
      </c>
      <c r="G38" s="38">
        <f t="shared" si="9"/>
        <v>7.9129012519842945E-3</v>
      </c>
      <c r="K38" s="33">
        <f t="shared" si="10"/>
        <v>7.9129012519842945E-3</v>
      </c>
      <c r="O38" s="33">
        <f t="shared" ca="1" si="2"/>
        <v>6.6223500757915908E-3</v>
      </c>
      <c r="Q38" s="37">
        <f t="shared" si="3"/>
        <v>35652.978000000003</v>
      </c>
      <c r="R38" s="33">
        <f t="shared" ca="1" si="8"/>
        <v>1.6655223383723708E-6</v>
      </c>
      <c r="S38" s="33">
        <f t="shared" si="4"/>
        <v>13863.103999999999</v>
      </c>
      <c r="T38" s="33">
        <f t="shared" si="5"/>
        <v>88.992700000002515</v>
      </c>
    </row>
    <row r="39" spans="1:21" s="33" customFormat="1">
      <c r="A39" s="33" t="s">
        <v>42</v>
      </c>
      <c r="B39" s="34"/>
      <c r="C39" s="38">
        <v>50696.503799999999</v>
      </c>
      <c r="D39" s="38"/>
      <c r="E39" s="33">
        <f t="shared" si="0"/>
        <v>-1475.9981911234099</v>
      </c>
      <c r="F39" s="33">
        <f t="shared" si="1"/>
        <v>-1476</v>
      </c>
      <c r="G39" s="38">
        <f t="shared" si="9"/>
        <v>5.0304219766985625E-3</v>
      </c>
      <c r="K39" s="33">
        <f t="shared" si="10"/>
        <v>5.0304219766985625E-3</v>
      </c>
      <c r="O39" s="33">
        <f t="shared" ca="1" si="2"/>
        <v>6.6152737849718563E-3</v>
      </c>
      <c r="Q39" s="37">
        <f t="shared" si="3"/>
        <v>35678.003799999999</v>
      </c>
      <c r="R39" s="33">
        <f t="shared" ca="1" si="8"/>
        <v>2.511755254187129E-6</v>
      </c>
      <c r="S39" s="33">
        <f t="shared" si="4"/>
        <v>13888.129799999995</v>
      </c>
      <c r="T39" s="33">
        <f t="shared" si="5"/>
        <v>25.025799999995797</v>
      </c>
    </row>
    <row r="40" spans="1:21" s="33" customFormat="1">
      <c r="A40" s="33" t="s">
        <v>42</v>
      </c>
      <c r="B40" s="34"/>
      <c r="C40" s="38">
        <v>50717.366099999999</v>
      </c>
      <c r="D40" s="38"/>
      <c r="E40" s="33">
        <f t="shared" si="0"/>
        <v>-1468.496369956614</v>
      </c>
      <c r="F40" s="33">
        <f t="shared" si="1"/>
        <v>-1468.5</v>
      </c>
      <c r="G40" s="38">
        <f t="shared" si="9"/>
        <v>1.0095022589666769E-2</v>
      </c>
      <c r="K40" s="33">
        <f t="shared" si="10"/>
        <v>1.0095022589666769E-2</v>
      </c>
      <c r="O40" s="33">
        <f t="shared" ca="1" si="2"/>
        <v>6.6093768759554108E-3</v>
      </c>
      <c r="Q40" s="37">
        <f t="shared" si="3"/>
        <v>35698.866099999999</v>
      </c>
      <c r="R40" s="33">
        <f t="shared" ca="1" si="8"/>
        <v>1.2149726041514363E-5</v>
      </c>
      <c r="S40" s="33">
        <f t="shared" si="4"/>
        <v>13908.992099999996</v>
      </c>
      <c r="T40" s="33">
        <f t="shared" si="5"/>
        <v>20.862300000000687</v>
      </c>
    </row>
    <row r="41" spans="1:21" s="33" customFormat="1">
      <c r="A41" s="33" t="s">
        <v>42</v>
      </c>
      <c r="B41" s="34"/>
      <c r="C41" s="38">
        <v>50749.345500000003</v>
      </c>
      <c r="D41" s="38"/>
      <c r="E41" s="33">
        <f t="shared" si="0"/>
        <v>-1456.9969791980948</v>
      </c>
      <c r="F41" s="33">
        <f t="shared" si="1"/>
        <v>-1457</v>
      </c>
      <c r="G41" s="38">
        <f t="shared" si="9"/>
        <v>8.400743521633558E-3</v>
      </c>
      <c r="K41" s="33">
        <f t="shared" si="10"/>
        <v>8.400743521633558E-3</v>
      </c>
      <c r="O41" s="33">
        <f t="shared" ca="1" si="2"/>
        <v>6.6003349487968616E-3</v>
      </c>
      <c r="Q41" s="37">
        <f t="shared" si="3"/>
        <v>35730.845500000003</v>
      </c>
      <c r="R41" s="33">
        <f t="shared" ca="1" si="8"/>
        <v>3.2414710291438699E-6</v>
      </c>
      <c r="S41" s="33">
        <f t="shared" si="4"/>
        <v>13940.9715</v>
      </c>
      <c r="T41" s="33">
        <f t="shared" si="5"/>
        <v>31.979400000003807</v>
      </c>
    </row>
    <row r="42" spans="1:21" s="33" customFormat="1">
      <c r="A42" s="33" t="s">
        <v>42</v>
      </c>
      <c r="B42" s="34"/>
      <c r="C42" s="38">
        <v>51045.515700000004</v>
      </c>
      <c r="D42" s="38"/>
      <c r="E42" s="33">
        <f t="shared" si="0"/>
        <v>-1350.4978935107963</v>
      </c>
      <c r="F42" s="33">
        <f t="shared" si="1"/>
        <v>-1350.5</v>
      </c>
      <c r="G42" s="38">
        <f t="shared" si="9"/>
        <v>5.8580721597536467E-3</v>
      </c>
      <c r="K42" s="33">
        <f t="shared" si="10"/>
        <v>5.8580721597536467E-3</v>
      </c>
      <c r="O42" s="33">
        <f t="shared" ca="1" si="2"/>
        <v>6.5165988407633367E-3</v>
      </c>
      <c r="Q42" s="37">
        <f t="shared" si="3"/>
        <v>36027.015700000004</v>
      </c>
      <c r="R42" s="33">
        <f t="shared" ca="1" si="8"/>
        <v>4.3365738960163806E-7</v>
      </c>
      <c r="S42" s="33">
        <f t="shared" si="4"/>
        <v>14237.1417</v>
      </c>
      <c r="T42" s="33">
        <f t="shared" si="5"/>
        <v>296.17020000000048</v>
      </c>
    </row>
    <row r="43" spans="1:21" s="33" customFormat="1">
      <c r="A43" s="33" t="s">
        <v>42</v>
      </c>
      <c r="B43" s="34"/>
      <c r="C43" s="38">
        <v>51045.518700000001</v>
      </c>
      <c r="D43" s="38"/>
      <c r="E43" s="33">
        <f t="shared" si="0"/>
        <v>-1350.4968147484606</v>
      </c>
      <c r="F43" s="33">
        <f t="shared" si="1"/>
        <v>-1350.5</v>
      </c>
      <c r="G43" s="38">
        <f t="shared" si="9"/>
        <v>8.8580721567268483E-3</v>
      </c>
      <c r="K43" s="33">
        <f t="shared" si="10"/>
        <v>8.8580721567268483E-3</v>
      </c>
      <c r="O43" s="33">
        <f t="shared" ca="1" si="2"/>
        <v>6.5165988407633367E-3</v>
      </c>
      <c r="Q43" s="37">
        <f t="shared" si="3"/>
        <v>36027.018700000001</v>
      </c>
      <c r="R43" s="33">
        <f t="shared" ca="1" si="8"/>
        <v>5.4824972893691626E-6</v>
      </c>
      <c r="S43" s="33">
        <f t="shared" si="4"/>
        <v>14237.144699999997</v>
      </c>
      <c r="T43" s="33">
        <f t="shared" si="5"/>
        <v>2.9999999969732016E-3</v>
      </c>
    </row>
    <row r="44" spans="1:21" s="33" customFormat="1">
      <c r="A44" s="33" t="s">
        <v>42</v>
      </c>
      <c r="B44" s="34"/>
      <c r="C44" s="38">
        <v>51376.453999999998</v>
      </c>
      <c r="D44" s="38"/>
      <c r="E44" s="33">
        <f t="shared" si="0"/>
        <v>-1231.496635555377</v>
      </c>
      <c r="F44" s="33">
        <f t="shared" si="1"/>
        <v>-1231.5</v>
      </c>
      <c r="G44" s="38">
        <f t="shared" si="9"/>
        <v>9.3564018025062978E-3</v>
      </c>
      <c r="K44" s="33">
        <f t="shared" si="10"/>
        <v>9.3564018025062978E-3</v>
      </c>
      <c r="O44" s="33">
        <f t="shared" ca="1" si="2"/>
        <v>6.4230345510357363E-3</v>
      </c>
      <c r="Q44" s="37">
        <f t="shared" si="3"/>
        <v>36357.953999999998</v>
      </c>
      <c r="R44" s="33">
        <f t="shared" ca="1" si="8"/>
        <v>8.6046434319999557E-6</v>
      </c>
      <c r="S44" s="33">
        <f t="shared" si="4"/>
        <v>14568.079999999994</v>
      </c>
      <c r="T44" s="33">
        <f t="shared" si="5"/>
        <v>330.93529999999737</v>
      </c>
    </row>
    <row r="45" spans="1:21" s="33" customFormat="1">
      <c r="A45" s="33" t="s">
        <v>42</v>
      </c>
      <c r="B45" s="34"/>
      <c r="C45" s="38">
        <v>51426.506099999999</v>
      </c>
      <c r="D45" s="38"/>
      <c r="E45" s="33">
        <f t="shared" si="0"/>
        <v>-1213.4985287683696</v>
      </c>
      <c r="F45" s="33">
        <f t="shared" si="1"/>
        <v>-1213.5</v>
      </c>
      <c r="G45" s="38">
        <f t="shared" si="9"/>
        <v>4.0914432611316442E-3</v>
      </c>
      <c r="K45" s="33">
        <f t="shared" si="10"/>
        <v>4.0914432611316442E-3</v>
      </c>
      <c r="O45" s="33">
        <f t="shared" ca="1" si="2"/>
        <v>6.4088819693962672E-3</v>
      </c>
      <c r="Q45" s="37">
        <f t="shared" si="3"/>
        <v>36408.006099999999</v>
      </c>
      <c r="R45" s="33">
        <f t="shared" ca="1" si="8"/>
        <v>5.3705221665632039E-6</v>
      </c>
      <c r="S45" s="33">
        <f t="shared" si="4"/>
        <v>14618.132099999995</v>
      </c>
      <c r="T45" s="33">
        <f t="shared" si="5"/>
        <v>50.052100000000792</v>
      </c>
    </row>
    <row r="46" spans="1:21" s="33" customFormat="1">
      <c r="A46" s="33" t="s">
        <v>42</v>
      </c>
      <c r="B46" s="34"/>
      <c r="C46" s="38">
        <v>51433.461000000003</v>
      </c>
      <c r="D46" s="38"/>
      <c r="E46" s="33">
        <f t="shared" si="0"/>
        <v>-1210.9976340428132</v>
      </c>
      <c r="F46" s="33">
        <f t="shared" si="1"/>
        <v>-1211</v>
      </c>
      <c r="G46" s="38">
        <f t="shared" si="9"/>
        <v>6.5796434646472335E-3</v>
      </c>
      <c r="K46" s="33">
        <f t="shared" si="10"/>
        <v>6.5796434646472335E-3</v>
      </c>
      <c r="O46" s="33">
        <f t="shared" ca="1" si="2"/>
        <v>6.4069163330574526E-3</v>
      </c>
      <c r="Q46" s="37">
        <f t="shared" si="3"/>
        <v>36414.961000000003</v>
      </c>
      <c r="R46" s="33">
        <f t="shared" ca="1" si="8"/>
        <v>2.9834661987233473E-8</v>
      </c>
      <c r="S46" s="33">
        <f t="shared" si="4"/>
        <v>14625.087</v>
      </c>
      <c r="T46" s="33">
        <f t="shared" si="5"/>
        <v>6.9549000000042724</v>
      </c>
    </row>
    <row r="47" spans="1:21" s="33" customFormat="1">
      <c r="A47" s="59" t="s">
        <v>74</v>
      </c>
      <c r="B47" s="60" t="s">
        <v>48</v>
      </c>
      <c r="C47" s="59">
        <v>52487.447399999997</v>
      </c>
      <c r="D47" s="59" t="s">
        <v>75</v>
      </c>
      <c r="E47" s="33">
        <f t="shared" si="0"/>
        <v>-831.99735674669648</v>
      </c>
      <c r="F47" s="33">
        <f t="shared" si="1"/>
        <v>-832</v>
      </c>
      <c r="G47" s="38">
        <f t="shared" si="9"/>
        <v>7.350794185185805E-3</v>
      </c>
      <c r="K47" s="33">
        <f t="shared" si="10"/>
        <v>7.350794185185805E-3</v>
      </c>
      <c r="O47" s="33">
        <f t="shared" ca="1" si="2"/>
        <v>6.1089258640930786E-3</v>
      </c>
      <c r="Q47" s="37">
        <f t="shared" si="3"/>
        <v>37468.947399999997</v>
      </c>
      <c r="R47" s="33">
        <f t="shared" ref="R47:R57" ca="1" si="11">(G47-O47)^2</f>
        <v>1.5422369269336668E-6</v>
      </c>
      <c r="S47" s="33">
        <f t="shared" ref="S47:S57" si="12">+C47-C$22</f>
        <v>15679.073399999994</v>
      </c>
      <c r="T47" s="33">
        <f t="shared" ref="T47:T57" si="13">C47-C46</f>
        <v>1053.9863999999943</v>
      </c>
    </row>
    <row r="48" spans="1:21" s="33" customFormat="1">
      <c r="A48" s="39" t="s">
        <v>56</v>
      </c>
      <c r="B48" s="40" t="s">
        <v>57</v>
      </c>
      <c r="C48" s="41">
        <v>52694.623299999999</v>
      </c>
      <c r="D48" s="41">
        <v>5.9999999999999995E-4</v>
      </c>
      <c r="E48" s="33">
        <f t="shared" si="0"/>
        <v>-757.49950407129802</v>
      </c>
      <c r="F48" s="33">
        <f t="shared" si="1"/>
        <v>-757.5</v>
      </c>
      <c r="G48" s="38">
        <f t="shared" si="9"/>
        <v>1.379160225042142E-3</v>
      </c>
      <c r="J48" s="33">
        <f>+G48</f>
        <v>1.379160225042142E-3</v>
      </c>
      <c r="O48" s="33">
        <f t="shared" ca="1" si="2"/>
        <v>6.0503499011963875E-3</v>
      </c>
      <c r="Q48" s="37">
        <f t="shared" si="3"/>
        <v>37676.123299999999</v>
      </c>
      <c r="R48" s="33">
        <f t="shared" ca="1" si="11"/>
        <v>2.1820012990610006E-5</v>
      </c>
      <c r="S48" s="33">
        <f t="shared" si="12"/>
        <v>15886.249299999996</v>
      </c>
      <c r="T48" s="33">
        <f t="shared" si="13"/>
        <v>207.175900000002</v>
      </c>
    </row>
    <row r="49" spans="1:20" s="33" customFormat="1">
      <c r="A49" s="35" t="s">
        <v>56</v>
      </c>
      <c r="B49" s="45"/>
      <c r="C49" s="35">
        <v>52694.623299999999</v>
      </c>
      <c r="D49" s="35">
        <v>5.9999999999999995E-4</v>
      </c>
      <c r="E49" s="33">
        <f t="shared" si="0"/>
        <v>-757.49950407129802</v>
      </c>
      <c r="F49" s="33">
        <f t="shared" si="1"/>
        <v>-757.5</v>
      </c>
      <c r="G49" s="38">
        <f t="shared" si="9"/>
        <v>1.379160225042142E-3</v>
      </c>
      <c r="J49" s="33">
        <f>+G49</f>
        <v>1.379160225042142E-3</v>
      </c>
      <c r="O49" s="33">
        <f t="shared" ca="1" si="2"/>
        <v>6.0503499011963875E-3</v>
      </c>
      <c r="Q49" s="37">
        <f t="shared" si="3"/>
        <v>37676.123299999999</v>
      </c>
      <c r="R49" s="33">
        <f t="shared" ca="1" si="11"/>
        <v>2.1820012990610006E-5</v>
      </c>
      <c r="S49" s="33">
        <f t="shared" si="12"/>
        <v>15886.249299999996</v>
      </c>
      <c r="T49" s="33">
        <f t="shared" si="13"/>
        <v>0</v>
      </c>
    </row>
    <row r="50" spans="1:20" s="33" customFormat="1">
      <c r="A50" s="39" t="s">
        <v>56</v>
      </c>
      <c r="B50" s="42"/>
      <c r="C50" s="41">
        <v>52804.476000000002</v>
      </c>
      <c r="D50" s="41">
        <v>1E-4</v>
      </c>
      <c r="E50" s="33">
        <f t="shared" si="0"/>
        <v>-717.99785228363874</v>
      </c>
      <c r="F50" s="33">
        <f t="shared" si="1"/>
        <v>-718</v>
      </c>
      <c r="G50" s="38">
        <f t="shared" si="9"/>
        <v>5.9727234256570227E-3</v>
      </c>
      <c r="J50" s="33">
        <f>+G50</f>
        <v>5.9727234256570227E-3</v>
      </c>
      <c r="O50" s="33">
        <f t="shared" ca="1" si="2"/>
        <v>6.0192928470431083E-3</v>
      </c>
      <c r="Q50" s="37">
        <f t="shared" si="3"/>
        <v>37785.976000000002</v>
      </c>
      <c r="R50" s="33">
        <f t="shared" ca="1" si="11"/>
        <v>2.1687110082347997E-9</v>
      </c>
      <c r="S50" s="33">
        <f t="shared" si="12"/>
        <v>15996.101999999999</v>
      </c>
      <c r="T50" s="33">
        <f t="shared" si="13"/>
        <v>109.8527000000031</v>
      </c>
    </row>
    <row r="51" spans="1:20" s="33" customFormat="1">
      <c r="A51" s="43" t="s">
        <v>47</v>
      </c>
      <c r="B51" s="40" t="s">
        <v>48</v>
      </c>
      <c r="C51" s="38">
        <v>52907.370999999999</v>
      </c>
      <c r="D51" s="41">
        <v>4.0000000000000001E-3</v>
      </c>
      <c r="E51" s="33">
        <f t="shared" si="0"/>
        <v>-680.9981020663846</v>
      </c>
      <c r="F51" s="33">
        <f t="shared" si="1"/>
        <v>-681</v>
      </c>
      <c r="G51" s="38">
        <f t="shared" si="9"/>
        <v>5.2780864280066453E-3</v>
      </c>
      <c r="K51" s="33">
        <f>+G51</f>
        <v>5.2780864280066453E-3</v>
      </c>
      <c r="O51" s="33">
        <f t="shared" ca="1" si="2"/>
        <v>5.9902014292286445E-3</v>
      </c>
      <c r="Q51" s="37">
        <f t="shared" si="3"/>
        <v>37888.870999999999</v>
      </c>
      <c r="R51" s="33">
        <f t="shared" ca="1" si="11"/>
        <v>5.0710777496540794E-7</v>
      </c>
      <c r="S51" s="33">
        <f t="shared" si="12"/>
        <v>16098.996999999996</v>
      </c>
      <c r="T51" s="33">
        <f t="shared" si="13"/>
        <v>102.8949999999968</v>
      </c>
    </row>
    <row r="52" spans="1:20" s="33" customFormat="1">
      <c r="A52" s="44" t="s">
        <v>63</v>
      </c>
      <c r="B52" s="45" t="s">
        <v>48</v>
      </c>
      <c r="C52" s="35">
        <v>53566.463400000001</v>
      </c>
      <c r="D52" s="35">
        <v>5.9999999999999995E-4</v>
      </c>
      <c r="E52" s="33">
        <f t="shared" si="0"/>
        <v>-443.99674952164133</v>
      </c>
      <c r="F52" s="33">
        <f t="shared" si="1"/>
        <v>-444</v>
      </c>
      <c r="G52" s="38">
        <f t="shared" si="9"/>
        <v>9.0394656363059767E-3</v>
      </c>
      <c r="J52" s="33">
        <f>+G52</f>
        <v>9.0394656363059767E-3</v>
      </c>
      <c r="O52" s="33">
        <f t="shared" ca="1" si="2"/>
        <v>5.8038591043089701E-3</v>
      </c>
      <c r="Q52" s="37">
        <f t="shared" si="3"/>
        <v>38547.963400000001</v>
      </c>
      <c r="R52" s="33">
        <f t="shared" ca="1" si="11"/>
        <v>1.0469149629901696E-5</v>
      </c>
      <c r="S52" s="33">
        <f t="shared" si="12"/>
        <v>16758.089399999997</v>
      </c>
      <c r="T52" s="33">
        <f t="shared" si="13"/>
        <v>659.09240000000136</v>
      </c>
    </row>
    <row r="53" spans="1:20" s="33" customFormat="1">
      <c r="A53" s="75" t="s">
        <v>206</v>
      </c>
      <c r="B53" s="76" t="s">
        <v>57</v>
      </c>
      <c r="C53" s="75">
        <v>54720.555</v>
      </c>
      <c r="D53" s="75" t="s">
        <v>83</v>
      </c>
      <c r="E53" s="36">
        <f t="shared" si="0"/>
        <v>-28.999899064063246</v>
      </c>
      <c r="F53" s="33">
        <f t="shared" si="1"/>
        <v>-29</v>
      </c>
      <c r="G53" s="35">
        <f t="shared" si="9"/>
        <v>2.806992779369466E-4</v>
      </c>
      <c r="H53" s="36"/>
      <c r="J53" s="36"/>
      <c r="K53" s="36">
        <f>+G53</f>
        <v>2.806992779369466E-4</v>
      </c>
      <c r="O53" s="33">
        <f t="shared" ca="1" si="2"/>
        <v>5.4775634720656587E-3</v>
      </c>
      <c r="Q53" s="37">
        <f t="shared" si="3"/>
        <v>39702.055</v>
      </c>
      <c r="R53" s="33">
        <f t="shared" ca="1" si="11"/>
        <v>2.7007397452217067E-5</v>
      </c>
      <c r="S53" s="33">
        <f t="shared" si="12"/>
        <v>17912.180999999997</v>
      </c>
      <c r="T53" s="33">
        <f t="shared" si="13"/>
        <v>1154.0915999999997</v>
      </c>
    </row>
    <row r="54" spans="1:20" s="33" customFormat="1">
      <c r="A54" s="8" t="s">
        <v>73</v>
      </c>
      <c r="C54" s="38">
        <v>54802.599399999999</v>
      </c>
      <c r="D54" s="38">
        <v>2.0000000000000001E-4</v>
      </c>
      <c r="E54" s="33">
        <f t="shared" si="0"/>
        <v>0.50223715950969516</v>
      </c>
      <c r="F54" s="33">
        <f t="shared" si="1"/>
        <v>0.5</v>
      </c>
      <c r="G54" s="38">
        <f t="shared" si="9"/>
        <v>6.2214616700657643E-3</v>
      </c>
      <c r="K54" s="33">
        <f>+G54</f>
        <v>6.2214616700657643E-3</v>
      </c>
      <c r="O54" s="33">
        <f t="shared" ca="1" si="2"/>
        <v>5.4543689632676404E-3</v>
      </c>
      <c r="Q54" s="37">
        <f t="shared" si="3"/>
        <v>39784.099399999999</v>
      </c>
      <c r="R54" s="33">
        <f t="shared" ca="1" si="11"/>
        <v>5.8843122082287262E-7</v>
      </c>
      <c r="S54" s="33">
        <f t="shared" si="12"/>
        <v>17994.225399999996</v>
      </c>
      <c r="T54" s="33">
        <f t="shared" si="13"/>
        <v>82.044399999998859</v>
      </c>
    </row>
    <row r="55" spans="1:20" s="33" customFormat="1">
      <c r="A55" s="75" t="s">
        <v>211</v>
      </c>
      <c r="B55" s="76" t="s">
        <v>57</v>
      </c>
      <c r="C55" s="75">
        <v>55304.563199999997</v>
      </c>
      <c r="D55" s="75" t="s">
        <v>83</v>
      </c>
      <c r="E55" s="36">
        <f t="shared" si="0"/>
        <v>181.00211779612184</v>
      </c>
      <c r="F55" s="33">
        <f t="shared" si="1"/>
        <v>181</v>
      </c>
      <c r="G55" s="35">
        <f t="shared" si="9"/>
        <v>5.8895163019769825E-3</v>
      </c>
      <c r="H55" s="36"/>
      <c r="I55" s="36">
        <f>+G55</f>
        <v>5.8895163019769825E-3</v>
      </c>
      <c r="J55" s="36"/>
      <c r="O55" s="33">
        <f t="shared" ca="1" si="2"/>
        <v>5.3124500196051879E-3</v>
      </c>
      <c r="Q55" s="37">
        <f t="shared" si="3"/>
        <v>40286.063199999997</v>
      </c>
      <c r="R55" s="33">
        <f t="shared" ca="1" si="11"/>
        <v>3.3300549425040375E-7</v>
      </c>
      <c r="S55" s="33">
        <f t="shared" si="12"/>
        <v>18496.189199999993</v>
      </c>
      <c r="T55" s="33">
        <f t="shared" si="13"/>
        <v>501.96379999999772</v>
      </c>
    </row>
    <row r="56" spans="1:20" s="33" customFormat="1">
      <c r="A56" s="75" t="s">
        <v>215</v>
      </c>
      <c r="B56" s="76" t="s">
        <v>48</v>
      </c>
      <c r="C56" s="75">
        <v>55660.527300000002</v>
      </c>
      <c r="D56" s="75" t="s">
        <v>83</v>
      </c>
      <c r="E56" s="36">
        <f t="shared" si="0"/>
        <v>309.00233924818713</v>
      </c>
      <c r="F56" s="33">
        <f t="shared" si="1"/>
        <v>309</v>
      </c>
      <c r="G56" s="35">
        <f t="shared" si="9"/>
        <v>6.5053666767198592E-3</v>
      </c>
      <c r="H56" s="36"/>
      <c r="I56" s="36">
        <f>+G56</f>
        <v>6.5053666767198592E-3</v>
      </c>
      <c r="J56" s="36"/>
      <c r="O56" s="33">
        <f t="shared" ca="1" si="2"/>
        <v>5.211809439057853E-3</v>
      </c>
      <c r="Q56" s="37">
        <f t="shared" si="3"/>
        <v>40642.027300000002</v>
      </c>
      <c r="R56" s="33">
        <f t="shared" ca="1" si="11"/>
        <v>1.6732903271077601E-6</v>
      </c>
      <c r="S56" s="33">
        <f t="shared" si="12"/>
        <v>18852.153299999998</v>
      </c>
      <c r="T56" s="33">
        <f t="shared" si="13"/>
        <v>355.96410000000469</v>
      </c>
    </row>
    <row r="57" spans="1:20" s="33" customFormat="1">
      <c r="A57" s="78" t="s">
        <v>217</v>
      </c>
      <c r="B57" s="79" t="s">
        <v>48</v>
      </c>
      <c r="C57" s="80">
        <v>58024.34756000014</v>
      </c>
      <c r="D57" s="80">
        <v>4.0000000000000002E-4</v>
      </c>
      <c r="E57" s="36">
        <f>+(C57-C$7)/C$8</f>
        <v>1159.0024284507003</v>
      </c>
      <c r="F57" s="33">
        <f t="shared" si="1"/>
        <v>1159</v>
      </c>
      <c r="G57" s="35">
        <f>+C57-(C$7+F57*C$8)</f>
        <v>6.7534357222029939E-3</v>
      </c>
      <c r="H57" s="36"/>
      <c r="J57" s="36"/>
      <c r="K57" s="36">
        <f>+G57</f>
        <v>6.7534357222029939E-3</v>
      </c>
      <c r="O57" s="33">
        <f ca="1">+C$11+C$12*F57</f>
        <v>4.5434930838607083E-3</v>
      </c>
      <c r="Q57" s="37">
        <f>+C57-15018.5</f>
        <v>43005.84756000014</v>
      </c>
      <c r="R57" s="33">
        <f t="shared" ca="1" si="11"/>
        <v>4.8838464647632619E-6</v>
      </c>
      <c r="S57" s="33">
        <f t="shared" si="12"/>
        <v>21215.973560000137</v>
      </c>
      <c r="T57" s="33">
        <f t="shared" si="13"/>
        <v>2363.8202600001387</v>
      </c>
    </row>
    <row r="58" spans="1:20" s="33" customFormat="1">
      <c r="C58" s="38"/>
      <c r="D58" s="38"/>
      <c r="G58" s="38"/>
    </row>
    <row r="59" spans="1:20" s="33" customFormat="1">
      <c r="C59" s="38"/>
      <c r="D59" s="38"/>
      <c r="G59" s="38"/>
    </row>
    <row r="60" spans="1:20" s="33" customFormat="1">
      <c r="C60" s="38"/>
      <c r="D60" s="38"/>
      <c r="G60" s="38"/>
    </row>
    <row r="61" spans="1:20" s="33" customFormat="1">
      <c r="C61" s="38"/>
      <c r="D61" s="38"/>
      <c r="G61" s="38"/>
    </row>
    <row r="62" spans="1:20" s="33" customFormat="1">
      <c r="C62" s="38"/>
      <c r="D62" s="38"/>
      <c r="G62" s="38"/>
    </row>
    <row r="63" spans="1:20" s="33" customFormat="1">
      <c r="C63" s="38"/>
      <c r="D63" s="38"/>
      <c r="G63" s="38"/>
    </row>
    <row r="64" spans="1:20" s="33" customFormat="1">
      <c r="C64" s="38"/>
      <c r="D64" s="38"/>
      <c r="G64" s="38"/>
    </row>
    <row r="65" spans="3:7" s="33" customFormat="1">
      <c r="C65" s="38"/>
      <c r="D65" s="38"/>
      <c r="G65" s="38"/>
    </row>
    <row r="66" spans="3:7" s="33" customFormat="1">
      <c r="C66" s="38"/>
      <c r="D66" s="38"/>
      <c r="G66" s="38"/>
    </row>
    <row r="67" spans="3:7" s="33" customFormat="1">
      <c r="C67" s="38"/>
      <c r="D67" s="38"/>
      <c r="G67" s="38"/>
    </row>
    <row r="68" spans="3:7" s="33" customFormat="1">
      <c r="C68" s="38"/>
      <c r="D68" s="38"/>
      <c r="G68" s="38"/>
    </row>
    <row r="69" spans="3:7" s="33" customFormat="1">
      <c r="C69" s="38"/>
      <c r="D69" s="38"/>
      <c r="G69" s="38"/>
    </row>
    <row r="70" spans="3:7" s="33" customFormat="1">
      <c r="C70" s="38"/>
      <c r="D70" s="38"/>
      <c r="G70" s="38"/>
    </row>
    <row r="71" spans="3:7" s="33" customFormat="1">
      <c r="C71" s="38"/>
      <c r="D71" s="38"/>
      <c r="G71" s="38"/>
    </row>
    <row r="72" spans="3:7" s="33" customFormat="1">
      <c r="C72" s="38"/>
      <c r="D72" s="38"/>
      <c r="G72" s="38"/>
    </row>
    <row r="73" spans="3:7" s="33" customFormat="1">
      <c r="C73" s="38"/>
      <c r="D73" s="38"/>
      <c r="G73" s="38"/>
    </row>
    <row r="74" spans="3:7" s="33" customFormat="1">
      <c r="C74" s="38"/>
      <c r="D74" s="38"/>
      <c r="G74" s="38"/>
    </row>
    <row r="75" spans="3:7" s="33" customFormat="1">
      <c r="C75" s="38"/>
      <c r="D75" s="38"/>
      <c r="G75" s="38"/>
    </row>
    <row r="76" spans="3:7" s="33" customFormat="1">
      <c r="C76" s="38"/>
      <c r="D76" s="38"/>
      <c r="G76" s="38"/>
    </row>
    <row r="77" spans="3:7" s="33" customFormat="1">
      <c r="C77" s="38"/>
      <c r="D77" s="38"/>
      <c r="G77" s="38"/>
    </row>
    <row r="78" spans="3:7" s="33" customFormat="1">
      <c r="C78" s="38"/>
      <c r="D78" s="38"/>
      <c r="G78" s="38"/>
    </row>
    <row r="79" spans="3:7" s="33" customFormat="1">
      <c r="C79" s="38"/>
      <c r="D79" s="38"/>
      <c r="G79" s="38"/>
    </row>
    <row r="80" spans="3:7" s="33" customFormat="1">
      <c r="C80" s="38"/>
      <c r="D80" s="38"/>
      <c r="G80" s="38"/>
    </row>
    <row r="81" spans="3:7" s="33" customFormat="1">
      <c r="C81" s="38"/>
      <c r="D81" s="38"/>
      <c r="G81" s="38"/>
    </row>
    <row r="82" spans="3:7" s="33" customFormat="1">
      <c r="C82" s="38"/>
      <c r="D82" s="38"/>
      <c r="G82" s="38"/>
    </row>
    <row r="83" spans="3:7" s="33" customFormat="1">
      <c r="C83" s="38"/>
      <c r="D83" s="38"/>
      <c r="G83" s="38"/>
    </row>
    <row r="84" spans="3:7" s="33" customFormat="1">
      <c r="C84" s="38"/>
      <c r="D84" s="38"/>
      <c r="G84" s="38"/>
    </row>
    <row r="85" spans="3:7" s="33" customFormat="1">
      <c r="C85" s="38"/>
      <c r="D85" s="38"/>
      <c r="G85" s="38"/>
    </row>
    <row r="86" spans="3:7" s="33" customFormat="1">
      <c r="C86" s="38"/>
      <c r="D86" s="38"/>
      <c r="G86" s="38"/>
    </row>
    <row r="87" spans="3:7" s="33" customFormat="1">
      <c r="C87" s="38"/>
      <c r="D87" s="38"/>
      <c r="G87" s="38"/>
    </row>
    <row r="88" spans="3:7" s="33" customFormat="1">
      <c r="C88" s="38"/>
      <c r="D88" s="38"/>
      <c r="G88" s="38"/>
    </row>
    <row r="89" spans="3:7" s="33" customFormat="1">
      <c r="C89" s="38"/>
      <c r="D89" s="38"/>
      <c r="G89" s="38"/>
    </row>
    <row r="90" spans="3:7" s="33" customFormat="1">
      <c r="C90" s="38"/>
      <c r="D90" s="38"/>
      <c r="G90" s="38"/>
    </row>
    <row r="91" spans="3:7" s="33" customFormat="1">
      <c r="C91" s="38"/>
      <c r="D91" s="38"/>
      <c r="G91" s="38"/>
    </row>
    <row r="92" spans="3:7" s="33" customFormat="1">
      <c r="C92" s="38"/>
      <c r="D92" s="38"/>
      <c r="G92" s="38"/>
    </row>
    <row r="93" spans="3:7" s="33" customFormat="1">
      <c r="C93" s="38"/>
      <c r="D93" s="38"/>
      <c r="G93" s="38"/>
    </row>
    <row r="94" spans="3:7" s="33" customFormat="1">
      <c r="C94" s="38"/>
      <c r="D94" s="38"/>
      <c r="G94" s="38"/>
    </row>
    <row r="95" spans="3:7" s="33" customFormat="1">
      <c r="C95" s="38"/>
      <c r="D95" s="38"/>
      <c r="G95" s="38"/>
    </row>
    <row r="96" spans="3:7" s="33" customFormat="1">
      <c r="C96" s="38"/>
      <c r="D96" s="38"/>
      <c r="G96" s="38"/>
    </row>
    <row r="97" spans="3:7" s="33" customFormat="1">
      <c r="C97" s="38"/>
      <c r="D97" s="38"/>
      <c r="G97" s="38"/>
    </row>
    <row r="98" spans="3:7" s="33" customFormat="1">
      <c r="C98" s="38"/>
      <c r="D98" s="38"/>
      <c r="G98" s="38"/>
    </row>
    <row r="99" spans="3:7" s="33" customFormat="1">
      <c r="C99" s="38"/>
      <c r="D99" s="38"/>
      <c r="G99" s="38"/>
    </row>
    <row r="100" spans="3:7" s="33" customFormat="1">
      <c r="C100" s="38"/>
      <c r="D100" s="38"/>
      <c r="G100" s="38"/>
    </row>
    <row r="101" spans="3:7" s="33" customFormat="1">
      <c r="C101" s="38"/>
      <c r="D101" s="38"/>
      <c r="G101" s="38"/>
    </row>
    <row r="102" spans="3:7" s="33" customFormat="1">
      <c r="C102" s="38"/>
      <c r="D102" s="38"/>
      <c r="G102" s="38"/>
    </row>
    <row r="103" spans="3:7" s="33" customFormat="1">
      <c r="C103" s="38"/>
      <c r="D103" s="38"/>
      <c r="G103" s="38"/>
    </row>
    <row r="104" spans="3:7" s="33" customFormat="1">
      <c r="C104" s="38"/>
      <c r="D104" s="38"/>
      <c r="G104" s="38"/>
    </row>
    <row r="105" spans="3:7" s="33" customFormat="1">
      <c r="C105" s="38"/>
      <c r="D105" s="38"/>
      <c r="G105" s="38"/>
    </row>
    <row r="106" spans="3:7" s="33" customFormat="1">
      <c r="C106" s="38"/>
      <c r="D106" s="38"/>
      <c r="G106" s="38"/>
    </row>
    <row r="107" spans="3:7" s="33" customFormat="1">
      <c r="C107" s="38"/>
      <c r="D107" s="38"/>
      <c r="G107" s="38"/>
    </row>
    <row r="108" spans="3:7" s="33" customFormat="1">
      <c r="C108" s="38"/>
      <c r="D108" s="38"/>
      <c r="G108" s="38"/>
    </row>
    <row r="109" spans="3:7" s="33" customFormat="1">
      <c r="C109" s="38"/>
      <c r="D109" s="38"/>
      <c r="G109" s="38"/>
    </row>
    <row r="110" spans="3:7" s="33" customFormat="1">
      <c r="C110" s="38"/>
      <c r="D110" s="38"/>
      <c r="G110" s="38"/>
    </row>
    <row r="111" spans="3:7" s="33" customFormat="1">
      <c r="C111" s="38"/>
      <c r="D111" s="38"/>
      <c r="G111" s="38"/>
    </row>
    <row r="112" spans="3:7" s="33" customFormat="1">
      <c r="C112" s="38"/>
      <c r="D112" s="38"/>
      <c r="G112" s="38"/>
    </row>
    <row r="113" spans="3:7" s="33" customFormat="1">
      <c r="C113" s="38"/>
      <c r="D113" s="38"/>
      <c r="G113" s="38"/>
    </row>
    <row r="114" spans="3:7" s="33" customFormat="1">
      <c r="C114" s="38"/>
      <c r="D114" s="38"/>
      <c r="G114" s="38"/>
    </row>
    <row r="115" spans="3:7" s="33" customFormat="1">
      <c r="C115" s="38"/>
      <c r="D115" s="38"/>
      <c r="G115" s="38"/>
    </row>
    <row r="116" spans="3:7" s="33" customFormat="1">
      <c r="C116" s="38"/>
      <c r="D116" s="38"/>
      <c r="G116" s="38"/>
    </row>
    <row r="117" spans="3:7" s="33" customFormat="1">
      <c r="C117" s="38"/>
      <c r="D117" s="38"/>
      <c r="G117" s="38"/>
    </row>
    <row r="118" spans="3:7" s="33" customFormat="1">
      <c r="C118" s="38"/>
      <c r="D118" s="38"/>
      <c r="G118" s="38"/>
    </row>
    <row r="119" spans="3:7" s="33" customFormat="1">
      <c r="C119" s="38"/>
      <c r="D119" s="38"/>
      <c r="G119" s="38"/>
    </row>
    <row r="120" spans="3:7" s="33" customFormat="1">
      <c r="C120" s="38"/>
      <c r="D120" s="38"/>
      <c r="G120" s="38"/>
    </row>
    <row r="121" spans="3:7" s="33" customFormat="1">
      <c r="C121" s="38"/>
      <c r="D121" s="38"/>
      <c r="G121" s="38"/>
    </row>
    <row r="122" spans="3:7" s="33" customFormat="1">
      <c r="C122" s="38"/>
      <c r="D122" s="38"/>
      <c r="G122" s="38"/>
    </row>
    <row r="123" spans="3:7" s="33" customFormat="1">
      <c r="C123" s="38"/>
      <c r="D123" s="38"/>
      <c r="G123" s="38"/>
    </row>
    <row r="124" spans="3:7" s="33" customFormat="1">
      <c r="C124" s="38"/>
      <c r="D124" s="38"/>
      <c r="G124" s="38"/>
    </row>
    <row r="125" spans="3:7" s="33" customFormat="1">
      <c r="C125" s="38"/>
      <c r="D125" s="38"/>
      <c r="G125" s="38"/>
    </row>
    <row r="126" spans="3:7" s="33" customFormat="1">
      <c r="C126" s="38"/>
      <c r="D126" s="38"/>
      <c r="G126" s="38"/>
    </row>
    <row r="127" spans="3:7" s="33" customFormat="1">
      <c r="C127" s="38"/>
      <c r="D127" s="38"/>
      <c r="G127" s="38"/>
    </row>
    <row r="128" spans="3:7" s="33" customFormat="1">
      <c r="C128" s="38"/>
      <c r="D128" s="38"/>
      <c r="G128" s="38"/>
    </row>
    <row r="129" spans="3:7" s="33" customFormat="1">
      <c r="C129" s="38"/>
      <c r="D129" s="38"/>
      <c r="G129" s="38"/>
    </row>
    <row r="130" spans="3:7" s="33" customFormat="1">
      <c r="C130" s="38"/>
      <c r="D130" s="38"/>
      <c r="G130" s="38"/>
    </row>
    <row r="131" spans="3:7" s="33" customFormat="1">
      <c r="C131" s="38"/>
      <c r="D131" s="38"/>
      <c r="G131" s="38"/>
    </row>
    <row r="132" spans="3:7" s="33" customFormat="1">
      <c r="C132" s="38"/>
      <c r="D132" s="38"/>
      <c r="G132" s="38"/>
    </row>
    <row r="133" spans="3:7" s="33" customFormat="1">
      <c r="C133" s="38"/>
      <c r="D133" s="38"/>
      <c r="G133" s="38"/>
    </row>
    <row r="134" spans="3:7" s="33" customFormat="1">
      <c r="C134" s="38"/>
      <c r="D134" s="38"/>
      <c r="G134" s="38"/>
    </row>
    <row r="135" spans="3:7" s="33" customFormat="1">
      <c r="C135" s="38"/>
      <c r="D135" s="38"/>
      <c r="G135" s="38"/>
    </row>
    <row r="136" spans="3:7" s="33" customFormat="1">
      <c r="C136" s="38"/>
      <c r="D136" s="38"/>
      <c r="G136" s="38"/>
    </row>
    <row r="137" spans="3:7" s="33" customFormat="1">
      <c r="C137" s="38"/>
      <c r="D137" s="38"/>
      <c r="G137" s="38"/>
    </row>
    <row r="138" spans="3:7" s="33" customFormat="1">
      <c r="C138" s="38"/>
      <c r="D138" s="38"/>
      <c r="G138" s="38"/>
    </row>
    <row r="139" spans="3:7" s="33" customFormat="1">
      <c r="C139" s="38"/>
      <c r="D139" s="38"/>
      <c r="G139" s="38"/>
    </row>
    <row r="140" spans="3:7" s="33" customFormat="1">
      <c r="C140" s="38"/>
      <c r="D140" s="38"/>
      <c r="G140" s="38"/>
    </row>
    <row r="141" spans="3:7" s="33" customFormat="1">
      <c r="C141" s="38"/>
      <c r="D141" s="38"/>
      <c r="G141" s="38"/>
    </row>
    <row r="142" spans="3:7" s="33" customFormat="1">
      <c r="C142" s="38"/>
      <c r="D142" s="38"/>
      <c r="G142" s="38"/>
    </row>
    <row r="143" spans="3:7" s="33" customFormat="1">
      <c r="C143" s="38"/>
      <c r="D143" s="38"/>
      <c r="G143" s="38"/>
    </row>
    <row r="144" spans="3:7" s="33" customFormat="1">
      <c r="C144" s="38"/>
      <c r="D144" s="38"/>
      <c r="G144" s="38"/>
    </row>
    <row r="145" spans="3:7" s="33" customFormat="1">
      <c r="C145" s="38"/>
      <c r="D145" s="38"/>
      <c r="G145" s="38"/>
    </row>
    <row r="146" spans="3:7" s="33" customFormat="1">
      <c r="C146" s="38"/>
      <c r="D146" s="38"/>
      <c r="G146" s="38"/>
    </row>
    <row r="147" spans="3:7" s="33" customFormat="1">
      <c r="C147" s="38"/>
      <c r="D147" s="38"/>
      <c r="G147" s="38"/>
    </row>
    <row r="148" spans="3:7" s="33" customFormat="1">
      <c r="C148" s="38"/>
      <c r="D148" s="38"/>
      <c r="G148" s="38"/>
    </row>
    <row r="149" spans="3:7" s="33" customFormat="1">
      <c r="C149" s="38"/>
      <c r="D149" s="38"/>
      <c r="G149" s="38"/>
    </row>
    <row r="150" spans="3:7" s="33" customFormat="1">
      <c r="C150" s="38"/>
      <c r="D150" s="38"/>
      <c r="G150" s="38"/>
    </row>
    <row r="151" spans="3:7" s="33" customFormat="1">
      <c r="C151" s="38"/>
      <c r="D151" s="38"/>
      <c r="G151" s="38"/>
    </row>
    <row r="152" spans="3:7" s="33" customFormat="1">
      <c r="C152" s="38"/>
      <c r="D152" s="38"/>
      <c r="G152" s="38"/>
    </row>
    <row r="153" spans="3:7" s="33" customFormat="1">
      <c r="C153" s="38"/>
      <c r="D153" s="38"/>
      <c r="G153" s="38"/>
    </row>
    <row r="154" spans="3:7" s="33" customFormat="1">
      <c r="C154" s="38"/>
      <c r="D154" s="38"/>
      <c r="G154" s="38"/>
    </row>
    <row r="155" spans="3:7" s="33" customFormat="1">
      <c r="C155" s="38"/>
      <c r="D155" s="38"/>
      <c r="G155" s="38"/>
    </row>
    <row r="156" spans="3:7" s="33" customFormat="1">
      <c r="C156" s="38"/>
      <c r="D156" s="38"/>
      <c r="G156" s="38"/>
    </row>
    <row r="157" spans="3:7" s="33" customFormat="1">
      <c r="C157" s="38"/>
      <c r="D157" s="38"/>
      <c r="G157" s="38"/>
    </row>
    <row r="158" spans="3:7" s="33" customFormat="1">
      <c r="C158" s="38"/>
      <c r="D158" s="38"/>
      <c r="G158" s="38"/>
    </row>
    <row r="159" spans="3:7" s="33" customFormat="1">
      <c r="C159" s="38"/>
      <c r="D159" s="38"/>
      <c r="G159" s="38"/>
    </row>
    <row r="160" spans="3:7" s="33" customFormat="1">
      <c r="C160" s="38"/>
      <c r="D160" s="38"/>
      <c r="G160" s="38"/>
    </row>
    <row r="161" spans="3:7" s="33" customFormat="1">
      <c r="C161" s="38"/>
      <c r="D161" s="38"/>
      <c r="G161" s="38"/>
    </row>
    <row r="162" spans="3:7" s="33" customFormat="1">
      <c r="C162" s="38"/>
      <c r="D162" s="38"/>
      <c r="G162" s="38"/>
    </row>
    <row r="163" spans="3:7" s="33" customFormat="1">
      <c r="C163" s="38"/>
      <c r="D163" s="38"/>
      <c r="G163" s="38"/>
    </row>
    <row r="164" spans="3:7" s="33" customFormat="1">
      <c r="C164" s="38"/>
      <c r="D164" s="38"/>
      <c r="G164" s="38"/>
    </row>
    <row r="165" spans="3:7" s="33" customFormat="1">
      <c r="C165" s="38"/>
      <c r="D165" s="38"/>
      <c r="G165" s="38"/>
    </row>
    <row r="166" spans="3:7" s="33" customFormat="1">
      <c r="C166" s="38"/>
      <c r="D166" s="38"/>
      <c r="G166" s="38"/>
    </row>
    <row r="167" spans="3:7" s="33" customFormat="1">
      <c r="C167" s="38"/>
      <c r="D167" s="38"/>
      <c r="G167" s="38"/>
    </row>
    <row r="168" spans="3:7" s="33" customFormat="1">
      <c r="C168" s="38"/>
      <c r="D168" s="38"/>
      <c r="G168" s="38"/>
    </row>
    <row r="169" spans="3:7" s="33" customFormat="1">
      <c r="C169" s="38"/>
      <c r="D169" s="38"/>
      <c r="G169" s="38"/>
    </row>
    <row r="170" spans="3:7" s="33" customFormat="1">
      <c r="C170" s="38"/>
      <c r="D170" s="38"/>
      <c r="G170" s="38"/>
    </row>
    <row r="171" spans="3:7">
      <c r="C171" s="13"/>
      <c r="D171" s="13"/>
    </row>
    <row r="172" spans="3:7">
      <c r="C172" s="13"/>
      <c r="D172" s="13"/>
    </row>
    <row r="173" spans="3:7">
      <c r="C173" s="13"/>
      <c r="D173" s="13"/>
    </row>
    <row r="174" spans="3:7">
      <c r="C174" s="13"/>
      <c r="D174" s="13"/>
    </row>
    <row r="175" spans="3:7">
      <c r="C175" s="13"/>
      <c r="D175" s="13"/>
    </row>
    <row r="176" spans="3:7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</sheetData>
  <protectedRanges>
    <protectedRange sqref="A57:D57" name="Range1"/>
  </protectedRanges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workbookViewId="0">
      <selection activeCell="C5" sqref="C5"/>
    </sheetView>
  </sheetViews>
  <sheetFormatPr defaultColWidth="10.28515625" defaultRowHeight="12.75"/>
  <cols>
    <col min="1" max="1" width="14.42578125" customWidth="1"/>
    <col min="2" max="2" width="12.425781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>
      <c r="A1" s="1" t="s">
        <v>30</v>
      </c>
      <c r="C1" s="14" t="s">
        <v>52</v>
      </c>
    </row>
    <row r="2" spans="1:18">
      <c r="A2" t="s">
        <v>26</v>
      </c>
      <c r="C2" s="14" t="s">
        <v>53</v>
      </c>
    </row>
    <row r="4" spans="1:18">
      <c r="A4" s="8" t="s">
        <v>0</v>
      </c>
      <c r="C4" s="18">
        <v>37189.377</v>
      </c>
      <c r="D4" s="19">
        <v>0.74412</v>
      </c>
    </row>
    <row r="5" spans="1:18">
      <c r="C5" s="30" t="s">
        <v>61</v>
      </c>
    </row>
    <row r="6" spans="1:18">
      <c r="A6" s="8" t="s">
        <v>1</v>
      </c>
    </row>
    <row r="7" spans="1:18">
      <c r="A7" t="s">
        <v>2</v>
      </c>
      <c r="C7">
        <f>+C4</f>
        <v>37189.377</v>
      </c>
    </row>
    <row r="8" spans="1:18">
      <c r="A8" t="s">
        <v>3</v>
      </c>
      <c r="C8">
        <f>+D4</f>
        <v>0.74412</v>
      </c>
    </row>
    <row r="10" spans="1:18" ht="13.5" thickBot="1">
      <c r="C10" s="7" t="s">
        <v>21</v>
      </c>
      <c r="D10" s="7" t="s">
        <v>22</v>
      </c>
    </row>
    <row r="11" spans="1:18">
      <c r="A11" t="s">
        <v>16</v>
      </c>
      <c r="C11">
        <f>INTERCEPT(G21:G993,F21:F993)</f>
        <v>9.7458423099305545E-3</v>
      </c>
      <c r="D11" s="6"/>
    </row>
    <row r="12" spans="1:18">
      <c r="A12" t="s">
        <v>17</v>
      </c>
      <c r="C12">
        <f>SLOPE(G21:G993,F21:F993)</f>
        <v>-1.195450188071641E-6</v>
      </c>
      <c r="D12" s="6"/>
    </row>
    <row r="13" spans="1:18">
      <c r="A13" t="s">
        <v>20</v>
      </c>
      <c r="C13" s="6" t="s">
        <v>14</v>
      </c>
      <c r="D13" s="6"/>
    </row>
    <row r="14" spans="1:18">
      <c r="A14" t="s">
        <v>25</v>
      </c>
    </row>
    <row r="15" spans="1:18">
      <c r="A15" s="3" t="s">
        <v>18</v>
      </c>
      <c r="C15" s="12">
        <v>51433.461000000003</v>
      </c>
      <c r="R15">
        <f>SUM(R22:R48)</f>
        <v>0.21534534172312125</v>
      </c>
    </row>
    <row r="16" spans="1:18">
      <c r="A16" s="8" t="s">
        <v>4</v>
      </c>
      <c r="C16">
        <f>+C8+C12</f>
        <v>0.74411880454981194</v>
      </c>
      <c r="R16">
        <f>COUNT(R22:R48)</f>
        <v>27</v>
      </c>
    </row>
    <row r="17" spans="1:33" ht="13.5" thickBot="1">
      <c r="D17" s="14" t="s">
        <v>51</v>
      </c>
      <c r="R17">
        <f>SQRT(R15/R16)</f>
        <v>8.9307073612075322E-2</v>
      </c>
    </row>
    <row r="18" spans="1:33">
      <c r="A18" s="8" t="s">
        <v>5</v>
      </c>
      <c r="C18" s="4">
        <f>+C15</f>
        <v>51433.461000000003</v>
      </c>
      <c r="D18" s="5">
        <f>+C16</f>
        <v>0.74411880454981194</v>
      </c>
    </row>
    <row r="19" spans="1:33" ht="13.5" thickTop="1"/>
    <row r="20" spans="1:33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44</v>
      </c>
      <c r="J20" s="10" t="s">
        <v>43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3">
      <c r="A21" t="s">
        <v>12</v>
      </c>
      <c r="C21">
        <v>37189.377</v>
      </c>
      <c r="D21" s="6" t="s">
        <v>14</v>
      </c>
      <c r="E21">
        <f t="shared" ref="E21:E47" si="0">+(C21-C$7)/C$8</f>
        <v>0</v>
      </c>
      <c r="F21">
        <f t="shared" ref="F21:F48" si="1">ROUND(2*E21,0)/2</f>
        <v>0</v>
      </c>
      <c r="G21">
        <f t="shared" ref="G21:G47" si="2">+C21-(C$7+F21*C$8)</f>
        <v>0</v>
      </c>
      <c r="H21">
        <f>+G21</f>
        <v>0</v>
      </c>
      <c r="O21">
        <f t="shared" ref="O21:O47" si="3">+C$11+C$12*F21</f>
        <v>9.7458423099305545E-3</v>
      </c>
      <c r="Q21" s="2">
        <f t="shared" ref="Q21:Q47" si="4">+C21-15018.5</f>
        <v>22170.877</v>
      </c>
    </row>
    <row r="22" spans="1:33">
      <c r="A22" t="s">
        <v>42</v>
      </c>
      <c r="B22" s="12"/>
      <c r="C22" s="12">
        <v>33894.44</v>
      </c>
      <c r="D22" s="13"/>
      <c r="E22">
        <f t="shared" si="0"/>
        <v>-4427.9645756060827</v>
      </c>
      <c r="F22">
        <f t="shared" si="1"/>
        <v>-4428</v>
      </c>
      <c r="G22">
        <f t="shared" si="2"/>
        <v>2.636000000347849E-2</v>
      </c>
      <c r="J22">
        <f>+G22</f>
        <v>2.636000000347849E-2</v>
      </c>
      <c r="O22">
        <f t="shared" si="3"/>
        <v>1.503929574271178E-2</v>
      </c>
      <c r="Q22" s="2">
        <f t="shared" si="4"/>
        <v>18875.940000000002</v>
      </c>
      <c r="R22">
        <f>(G22-O22)^2</f>
        <v>1.2815834495974153E-4</v>
      </c>
      <c r="AA22" s="6">
        <v>0</v>
      </c>
      <c r="AB22" s="6" t="s">
        <v>41</v>
      </c>
      <c r="AC22" s="12">
        <v>-5901</v>
      </c>
      <c r="AD22" s="13">
        <v>0</v>
      </c>
      <c r="AE22" s="12">
        <v>0</v>
      </c>
      <c r="AF22" s="13">
        <v>517</v>
      </c>
      <c r="AG22" s="13" t="s">
        <v>36</v>
      </c>
    </row>
    <row r="23" spans="1:33">
      <c r="A23" t="s">
        <v>42</v>
      </c>
      <c r="B23" s="12"/>
      <c r="C23" s="12">
        <v>36808.374000000003</v>
      </c>
      <c r="D23" s="13"/>
      <c r="E23">
        <f t="shared" si="0"/>
        <v>-512.01822286727543</v>
      </c>
      <c r="F23">
        <f t="shared" si="1"/>
        <v>-512</v>
      </c>
      <c r="G23">
        <f t="shared" si="2"/>
        <v>-1.3559999999415595E-2</v>
      </c>
      <c r="J23">
        <f>+G23</f>
        <v>-1.3559999999415595E-2</v>
      </c>
      <c r="O23">
        <f t="shared" si="3"/>
        <v>1.0357912806223234E-2</v>
      </c>
      <c r="Q23" s="2">
        <f t="shared" si="4"/>
        <v>21789.874000000003</v>
      </c>
      <c r="R23">
        <f t="shared" ref="R23:R48" si="5">(G23-O23)^2</f>
        <v>5.7206655297814188E-4</v>
      </c>
      <c r="T23">
        <f>C23-C22</f>
        <v>2913.9340000000011</v>
      </c>
      <c r="AA23" s="6">
        <v>1</v>
      </c>
      <c r="AB23" s="6" t="s">
        <v>41</v>
      </c>
      <c r="AC23" s="12">
        <v>-4853</v>
      </c>
      <c r="AD23" s="13">
        <v>0</v>
      </c>
      <c r="AE23" s="12">
        <v>0</v>
      </c>
      <c r="AF23" s="13">
        <v>1</v>
      </c>
      <c r="AG23" s="13" t="s">
        <v>36</v>
      </c>
    </row>
    <row r="24" spans="1:33">
      <c r="A24" t="s">
        <v>42</v>
      </c>
      <c r="B24" s="12"/>
      <c r="C24" s="12">
        <v>37189.377</v>
      </c>
      <c r="D24" s="13"/>
      <c r="E24">
        <f t="shared" si="0"/>
        <v>0</v>
      </c>
      <c r="F24">
        <f t="shared" si="1"/>
        <v>0</v>
      </c>
      <c r="G24">
        <f t="shared" si="2"/>
        <v>0</v>
      </c>
      <c r="J24">
        <f>+G24</f>
        <v>0</v>
      </c>
      <c r="O24">
        <f t="shared" si="3"/>
        <v>9.7458423099305545E-3</v>
      </c>
      <c r="Q24" s="2">
        <f t="shared" si="4"/>
        <v>22170.877</v>
      </c>
      <c r="R24">
        <f t="shared" si="5"/>
        <v>9.4981442330032524E-5</v>
      </c>
      <c r="T24">
        <f t="shared" ref="T24:T48" si="6">C24-C23</f>
        <v>381.00299999999697</v>
      </c>
      <c r="AA24" s="6">
        <v>1</v>
      </c>
      <c r="AB24" s="6" t="s">
        <v>41</v>
      </c>
      <c r="AC24" s="12">
        <v>-4716</v>
      </c>
      <c r="AD24" s="13">
        <v>0</v>
      </c>
      <c r="AE24" s="12">
        <v>0</v>
      </c>
      <c r="AF24" s="13">
        <v>12</v>
      </c>
      <c r="AG24" s="13" t="s">
        <v>36</v>
      </c>
    </row>
    <row r="25" spans="1:33">
      <c r="A25" t="s">
        <v>42</v>
      </c>
      <c r="B25" s="12"/>
      <c r="C25" s="12">
        <v>45646.239999999998</v>
      </c>
      <c r="D25" s="13"/>
      <c r="E25">
        <f t="shared" si="0"/>
        <v>11364.918292748478</v>
      </c>
      <c r="F25">
        <f t="shared" si="1"/>
        <v>11365</v>
      </c>
      <c r="G25">
        <f t="shared" si="2"/>
        <v>-6.0799999999289867E-2</v>
      </c>
      <c r="J25">
        <f>+G25</f>
        <v>-6.0799999999289867E-2</v>
      </c>
      <c r="O25">
        <f t="shared" si="3"/>
        <v>-3.8404490775036451E-3</v>
      </c>
      <c r="Q25" s="2">
        <f t="shared" si="4"/>
        <v>30627.739999999998</v>
      </c>
      <c r="R25">
        <f t="shared" si="5"/>
        <v>3.2443904412115575E-3</v>
      </c>
      <c r="T25">
        <f t="shared" si="6"/>
        <v>8456.8629999999976</v>
      </c>
      <c r="AA25" s="6">
        <v>1</v>
      </c>
      <c r="AB25" s="6" t="s">
        <v>41</v>
      </c>
      <c r="AC25" s="12">
        <v>-1675</v>
      </c>
      <c r="AD25" s="13">
        <v>0</v>
      </c>
      <c r="AE25" s="12">
        <v>0</v>
      </c>
      <c r="AF25" s="13">
        <v>36</v>
      </c>
      <c r="AG25" s="13" t="s">
        <v>37</v>
      </c>
    </row>
    <row r="26" spans="1:33">
      <c r="A26" t="s">
        <v>32</v>
      </c>
      <c r="C26" s="11">
        <v>48830.413</v>
      </c>
      <c r="D26">
        <v>5.0000000000000001E-3</v>
      </c>
      <c r="E26">
        <f t="shared" si="0"/>
        <v>15644.030532709778</v>
      </c>
      <c r="F26">
        <f t="shared" si="1"/>
        <v>15644</v>
      </c>
      <c r="G26">
        <f t="shared" si="2"/>
        <v>2.2720000000845175E-2</v>
      </c>
      <c r="I26">
        <f t="shared" ref="I26:I32" si="7">+G26</f>
        <v>2.2720000000845175E-2</v>
      </c>
      <c r="O26">
        <f t="shared" si="3"/>
        <v>-8.9557804322621982E-3</v>
      </c>
      <c r="Q26" s="2">
        <f t="shared" si="4"/>
        <v>33811.913</v>
      </c>
      <c r="R26">
        <f t="shared" si="5"/>
        <v>1.0033550660464277E-3</v>
      </c>
      <c r="T26">
        <f t="shared" si="6"/>
        <v>3184.1730000000025</v>
      </c>
      <c r="AA26">
        <v>7</v>
      </c>
      <c r="AC26" t="s">
        <v>31</v>
      </c>
      <c r="AE26" t="s">
        <v>33</v>
      </c>
    </row>
    <row r="27" spans="1:33">
      <c r="A27" t="s">
        <v>32</v>
      </c>
      <c r="C27" s="11">
        <v>48862.404000000002</v>
      </c>
      <c r="D27">
        <v>5.0000000000000001E-3</v>
      </c>
      <c r="E27">
        <f t="shared" si="0"/>
        <v>15687.022254475087</v>
      </c>
      <c r="F27">
        <f t="shared" si="1"/>
        <v>15687</v>
      </c>
      <c r="G27">
        <f t="shared" si="2"/>
        <v>1.6560000003664754E-2</v>
      </c>
      <c r="I27">
        <f t="shared" si="7"/>
        <v>1.6560000003664754E-2</v>
      </c>
      <c r="O27">
        <f t="shared" si="3"/>
        <v>-9.007184790349277E-3</v>
      </c>
      <c r="Q27" s="2">
        <f t="shared" si="4"/>
        <v>33843.904000000002</v>
      </c>
      <c r="R27">
        <f t="shared" si="5"/>
        <v>6.536809382912623E-4</v>
      </c>
      <c r="T27">
        <f t="shared" si="6"/>
        <v>31.991000000001804</v>
      </c>
      <c r="AA27">
        <v>6</v>
      </c>
      <c r="AC27" t="s">
        <v>31</v>
      </c>
      <c r="AE27" t="s">
        <v>33</v>
      </c>
    </row>
    <row r="28" spans="1:33">
      <c r="A28" t="s">
        <v>32</v>
      </c>
      <c r="C28" s="11">
        <v>48868.385999999999</v>
      </c>
      <c r="D28">
        <v>4.0000000000000001E-3</v>
      </c>
      <c r="E28">
        <f t="shared" si="0"/>
        <v>15695.061280438636</v>
      </c>
      <c r="F28">
        <f t="shared" si="1"/>
        <v>15695</v>
      </c>
      <c r="G28">
        <f t="shared" si="2"/>
        <v>4.559999999764841E-2</v>
      </c>
      <c r="I28">
        <f t="shared" si="7"/>
        <v>4.559999999764841E-2</v>
      </c>
      <c r="O28">
        <f t="shared" si="3"/>
        <v>-9.0167483918538495E-3</v>
      </c>
      <c r="Q28" s="2">
        <f t="shared" si="4"/>
        <v>33849.885999999999</v>
      </c>
      <c r="R28">
        <f t="shared" si="5"/>
        <v>2.9829892046421974E-3</v>
      </c>
      <c r="T28">
        <f t="shared" si="6"/>
        <v>5.9819999999963329</v>
      </c>
      <c r="AA28">
        <v>8</v>
      </c>
      <c r="AC28" t="s">
        <v>31</v>
      </c>
      <c r="AE28" t="s">
        <v>33</v>
      </c>
    </row>
    <row r="29" spans="1:33">
      <c r="A29" t="s">
        <v>32</v>
      </c>
      <c r="C29" s="11">
        <v>48871.356</v>
      </c>
      <c r="D29">
        <v>4.0000000000000001E-3</v>
      </c>
      <c r="E29">
        <f t="shared" si="0"/>
        <v>15699.05257216578</v>
      </c>
      <c r="F29">
        <f t="shared" si="1"/>
        <v>15699</v>
      </c>
      <c r="G29">
        <f t="shared" si="2"/>
        <v>3.9120000001275912E-2</v>
      </c>
      <c r="I29">
        <f t="shared" si="7"/>
        <v>3.9120000001275912E-2</v>
      </c>
      <c r="O29">
        <f t="shared" si="3"/>
        <v>-9.0215301926061357E-3</v>
      </c>
      <c r="Q29" s="2">
        <f t="shared" si="4"/>
        <v>33852.856</v>
      </c>
      <c r="R29">
        <f t="shared" si="5"/>
        <v>2.3176069294084571E-3</v>
      </c>
      <c r="T29">
        <f t="shared" si="6"/>
        <v>2.9700000000011642</v>
      </c>
      <c r="AA29">
        <v>7</v>
      </c>
      <c r="AC29" t="s">
        <v>31</v>
      </c>
      <c r="AE29" t="s">
        <v>33</v>
      </c>
    </row>
    <row r="30" spans="1:33">
      <c r="A30" t="s">
        <v>34</v>
      </c>
      <c r="C30" s="11">
        <v>49176.482000000004</v>
      </c>
      <c r="D30">
        <v>6.0000000000000001E-3</v>
      </c>
      <c r="E30">
        <f t="shared" si="0"/>
        <v>16109.102026554861</v>
      </c>
      <c r="F30">
        <f t="shared" si="1"/>
        <v>16109</v>
      </c>
      <c r="G30">
        <f t="shared" si="2"/>
        <v>7.5920000002952293E-2</v>
      </c>
      <c r="I30">
        <f t="shared" si="7"/>
        <v>7.5920000002952293E-2</v>
      </c>
      <c r="O30">
        <f t="shared" si="3"/>
        <v>-9.5116647697155096E-3</v>
      </c>
      <c r="Q30" s="2">
        <f t="shared" si="4"/>
        <v>34157.982000000004</v>
      </c>
      <c r="R30">
        <f t="shared" si="5"/>
        <v>7.2985693458294896E-3</v>
      </c>
      <c r="T30">
        <f t="shared" si="6"/>
        <v>305.12600000000384</v>
      </c>
      <c r="AA30">
        <v>11</v>
      </c>
      <c r="AC30" t="s">
        <v>31</v>
      </c>
      <c r="AE30" t="s">
        <v>33</v>
      </c>
    </row>
    <row r="31" spans="1:33">
      <c r="A31" t="s">
        <v>35</v>
      </c>
      <c r="C31" s="11">
        <v>49211.402000000002</v>
      </c>
      <c r="D31">
        <v>7.0000000000000001E-3</v>
      </c>
      <c r="E31">
        <f t="shared" si="0"/>
        <v>16156.029941407302</v>
      </c>
      <c r="F31">
        <f t="shared" si="1"/>
        <v>16156</v>
      </c>
      <c r="G31">
        <f t="shared" si="2"/>
        <v>2.2280000004684553E-2</v>
      </c>
      <c r="I31">
        <f t="shared" si="7"/>
        <v>2.2280000004684553E-2</v>
      </c>
      <c r="O31">
        <f t="shared" si="3"/>
        <v>-9.5678509285548781E-3</v>
      </c>
      <c r="Q31" s="2">
        <f t="shared" si="4"/>
        <v>34192.902000000002</v>
      </c>
      <c r="R31">
        <f t="shared" si="5"/>
        <v>1.0142856090658394E-3</v>
      </c>
      <c r="T31">
        <f t="shared" si="6"/>
        <v>34.919999999998254</v>
      </c>
      <c r="AA31">
        <v>9</v>
      </c>
      <c r="AC31" t="s">
        <v>31</v>
      </c>
      <c r="AE31" t="s">
        <v>33</v>
      </c>
    </row>
    <row r="32" spans="1:33">
      <c r="A32" t="s">
        <v>35</v>
      </c>
      <c r="C32" s="11">
        <v>49217.37</v>
      </c>
      <c r="D32">
        <v>5.0000000000000001E-3</v>
      </c>
      <c r="E32">
        <f t="shared" si="0"/>
        <v>16164.0501532011</v>
      </c>
      <c r="F32">
        <f t="shared" si="1"/>
        <v>16164</v>
      </c>
      <c r="G32">
        <f t="shared" si="2"/>
        <v>3.7320000003091991E-2</v>
      </c>
      <c r="I32">
        <f t="shared" si="7"/>
        <v>3.7320000003091991E-2</v>
      </c>
      <c r="O32">
        <f t="shared" si="3"/>
        <v>-9.5774145300594506E-3</v>
      </c>
      <c r="Q32" s="2">
        <f t="shared" si="4"/>
        <v>34198.870000000003</v>
      </c>
      <c r="R32">
        <f t="shared" si="5"/>
        <v>2.1993674898942439E-3</v>
      </c>
      <c r="T32">
        <f t="shared" si="6"/>
        <v>5.9680000000007567</v>
      </c>
      <c r="AA32">
        <v>9</v>
      </c>
      <c r="AC32" t="s">
        <v>31</v>
      </c>
      <c r="AE32" t="s">
        <v>33</v>
      </c>
    </row>
    <row r="33" spans="1:33">
      <c r="A33" t="s">
        <v>35</v>
      </c>
      <c r="C33" s="11">
        <v>49249.381999999998</v>
      </c>
      <c r="D33">
        <v>5.0000000000000001E-3</v>
      </c>
      <c r="E33">
        <f t="shared" si="0"/>
        <v>16207.070096221036</v>
      </c>
      <c r="F33">
        <f t="shared" si="1"/>
        <v>16207</v>
      </c>
      <c r="G33">
        <f t="shared" si="2"/>
        <v>5.2159999999275897E-2</v>
      </c>
      <c r="J33">
        <f t="shared" ref="J33:J47" si="8">+G33</f>
        <v>5.2159999999275897E-2</v>
      </c>
      <c r="O33">
        <f t="shared" si="3"/>
        <v>-9.6288188881465293E-3</v>
      </c>
      <c r="Q33" s="2">
        <f t="shared" si="4"/>
        <v>34230.881999999998</v>
      </c>
      <c r="R33">
        <f t="shared" si="5"/>
        <v>3.8178581395026897E-3</v>
      </c>
      <c r="T33">
        <f t="shared" si="6"/>
        <v>32.011999999995169</v>
      </c>
      <c r="AA33">
        <v>8</v>
      </c>
      <c r="AC33" t="s">
        <v>31</v>
      </c>
      <c r="AE33" t="s">
        <v>33</v>
      </c>
    </row>
    <row r="34" spans="1:33">
      <c r="A34" t="s">
        <v>42</v>
      </c>
      <c r="B34" s="12"/>
      <c r="C34" s="12">
        <v>50304.393900000003</v>
      </c>
      <c r="D34" s="13"/>
      <c r="E34">
        <f t="shared" si="0"/>
        <v>17624.868166424774</v>
      </c>
      <c r="F34">
        <f t="shared" si="1"/>
        <v>17625</v>
      </c>
      <c r="G34">
        <f t="shared" si="2"/>
        <v>-9.8099999995611142E-2</v>
      </c>
      <c r="J34">
        <f t="shared" si="8"/>
        <v>-9.8099999995611142E-2</v>
      </c>
      <c r="O34">
        <f t="shared" si="3"/>
        <v>-1.1323967254832118E-2</v>
      </c>
      <c r="Q34" s="2">
        <f t="shared" si="4"/>
        <v>35285.893900000003</v>
      </c>
      <c r="R34">
        <f t="shared" si="5"/>
        <v>7.5300798582287531E-3</v>
      </c>
      <c r="T34">
        <f t="shared" si="6"/>
        <v>1055.011900000005</v>
      </c>
      <c r="AA34" s="6">
        <v>10</v>
      </c>
      <c r="AB34" s="6" t="s">
        <v>40</v>
      </c>
      <c r="AC34" s="12">
        <v>0</v>
      </c>
      <c r="AD34" s="13">
        <v>0</v>
      </c>
      <c r="AE34" s="12">
        <v>0</v>
      </c>
      <c r="AF34" s="13">
        <v>39</v>
      </c>
      <c r="AG34" s="13" t="s">
        <v>38</v>
      </c>
    </row>
    <row r="35" spans="1:33">
      <c r="A35" t="s">
        <v>42</v>
      </c>
      <c r="B35" s="12"/>
      <c r="C35" s="12">
        <v>50315.5124</v>
      </c>
      <c r="D35" s="13"/>
      <c r="E35">
        <f t="shared" si="0"/>
        <v>17639.809976885448</v>
      </c>
      <c r="F35">
        <f t="shared" si="1"/>
        <v>17640</v>
      </c>
      <c r="G35">
        <f t="shared" si="2"/>
        <v>-0.14140000000043074</v>
      </c>
      <c r="J35">
        <f t="shared" si="8"/>
        <v>-0.14140000000043074</v>
      </c>
      <c r="O35">
        <f t="shared" si="3"/>
        <v>-1.1341899007653193E-2</v>
      </c>
      <c r="Q35" s="2">
        <f t="shared" si="4"/>
        <v>35297.0124</v>
      </c>
      <c r="R35">
        <f t="shared" si="5"/>
        <v>1.6915109633847521E-2</v>
      </c>
      <c r="T35">
        <f t="shared" si="6"/>
        <v>11.118499999996857</v>
      </c>
      <c r="AA35" s="6">
        <v>10</v>
      </c>
      <c r="AB35" s="6" t="s">
        <v>40</v>
      </c>
      <c r="AC35" s="12">
        <v>4</v>
      </c>
      <c r="AD35" s="13">
        <v>0</v>
      </c>
      <c r="AE35" s="12">
        <v>0</v>
      </c>
      <c r="AF35" s="13">
        <v>15</v>
      </c>
      <c r="AG35" s="13" t="s">
        <v>38</v>
      </c>
    </row>
    <row r="36" spans="1:33">
      <c r="A36" t="s">
        <v>42</v>
      </c>
      <c r="B36" s="12"/>
      <c r="C36" s="12">
        <v>50361.394800000002</v>
      </c>
      <c r="D36" s="13"/>
      <c r="E36">
        <f t="shared" si="0"/>
        <v>17701.469924205776</v>
      </c>
      <c r="F36">
        <f t="shared" si="1"/>
        <v>17701.5</v>
      </c>
      <c r="G36">
        <f t="shared" si="2"/>
        <v>-2.238000000215834E-2</v>
      </c>
      <c r="J36">
        <f t="shared" si="8"/>
        <v>-2.238000000215834E-2</v>
      </c>
      <c r="O36">
        <f t="shared" si="3"/>
        <v>-1.1415419194219598E-2</v>
      </c>
      <c r="Q36" s="2">
        <f t="shared" si="4"/>
        <v>35342.894800000002</v>
      </c>
      <c r="R36">
        <f t="shared" si="5"/>
        <v>1.202220322938186E-4</v>
      </c>
      <c r="T36">
        <f t="shared" si="6"/>
        <v>45.882400000002235</v>
      </c>
      <c r="AA36" s="6">
        <v>10</v>
      </c>
      <c r="AB36" s="6" t="s">
        <v>40</v>
      </c>
      <c r="AC36" s="12">
        <v>20</v>
      </c>
      <c r="AD36" s="13">
        <v>5</v>
      </c>
      <c r="AE36" s="12">
        <v>0</v>
      </c>
      <c r="AF36" s="13">
        <v>50</v>
      </c>
      <c r="AG36" s="13" t="s">
        <v>37</v>
      </c>
    </row>
    <row r="37" spans="1:33">
      <c r="A37" t="s">
        <v>42</v>
      </c>
      <c r="B37" s="12"/>
      <c r="C37" s="12">
        <v>50396.193700000003</v>
      </c>
      <c r="D37" s="13"/>
      <c r="E37">
        <f t="shared" si="0"/>
        <v>17748.235096489818</v>
      </c>
      <c r="F37">
        <f t="shared" si="1"/>
        <v>17748</v>
      </c>
      <c r="G37">
        <f t="shared" si="2"/>
        <v>0.17494000000442611</v>
      </c>
      <c r="J37">
        <f t="shared" si="8"/>
        <v>0.17494000000442611</v>
      </c>
      <c r="O37">
        <f t="shared" si="3"/>
        <v>-1.1471007627964928E-2</v>
      </c>
      <c r="Q37" s="2">
        <f t="shared" si="4"/>
        <v>35377.693700000003</v>
      </c>
      <c r="R37">
        <f t="shared" si="5"/>
        <v>3.4749063766523355E-2</v>
      </c>
      <c r="T37">
        <f t="shared" si="6"/>
        <v>34.798900000001595</v>
      </c>
      <c r="AA37" s="6">
        <v>1</v>
      </c>
      <c r="AB37" s="6" t="s">
        <v>41</v>
      </c>
      <c r="AC37" s="12">
        <v>33</v>
      </c>
      <c r="AD37" s="13">
        <v>0</v>
      </c>
      <c r="AE37" s="12">
        <v>0</v>
      </c>
      <c r="AF37" s="13">
        <v>319</v>
      </c>
      <c r="AG37" s="13" t="s">
        <v>37</v>
      </c>
    </row>
    <row r="38" spans="1:33">
      <c r="A38" t="s">
        <v>42</v>
      </c>
      <c r="B38" s="12"/>
      <c r="C38" s="12">
        <v>50582.4853</v>
      </c>
      <c r="D38" s="13"/>
      <c r="E38">
        <f t="shared" si="0"/>
        <v>17998.586652690425</v>
      </c>
      <c r="F38">
        <f t="shared" si="1"/>
        <v>17998.5</v>
      </c>
      <c r="G38">
        <f t="shared" si="2"/>
        <v>6.4480000000912696E-2</v>
      </c>
      <c r="J38">
        <f t="shared" si="8"/>
        <v>6.4480000000912696E-2</v>
      </c>
      <c r="O38">
        <f t="shared" si="3"/>
        <v>-1.1770467900076874E-2</v>
      </c>
      <c r="Q38" s="2">
        <f t="shared" si="4"/>
        <v>35563.9853</v>
      </c>
      <c r="R38">
        <f t="shared" si="5"/>
        <v>5.8141338551198421E-3</v>
      </c>
      <c r="T38">
        <f t="shared" si="6"/>
        <v>186.29159999999683</v>
      </c>
      <c r="AA38" s="6">
        <v>10</v>
      </c>
      <c r="AB38" s="6" t="s">
        <v>40</v>
      </c>
      <c r="AC38" s="12">
        <v>100</v>
      </c>
      <c r="AD38" s="13">
        <v>0</v>
      </c>
      <c r="AE38" s="12">
        <v>0</v>
      </c>
      <c r="AF38" s="13">
        <v>11</v>
      </c>
      <c r="AG38" s="13" t="s">
        <v>37</v>
      </c>
    </row>
    <row r="39" spans="1:33">
      <c r="A39" t="s">
        <v>42</v>
      </c>
      <c r="B39" s="12"/>
      <c r="C39" s="12">
        <v>50671.478000000003</v>
      </c>
      <c r="D39" s="13"/>
      <c r="E39">
        <f t="shared" si="0"/>
        <v>18118.181207332153</v>
      </c>
      <c r="F39">
        <f t="shared" si="1"/>
        <v>18118</v>
      </c>
      <c r="G39">
        <f t="shared" si="2"/>
        <v>0.13483999999880325</v>
      </c>
      <c r="J39">
        <f t="shared" si="8"/>
        <v>0.13483999999880325</v>
      </c>
      <c r="O39">
        <f t="shared" si="3"/>
        <v>-1.1913324197551436E-2</v>
      </c>
      <c r="Q39" s="2">
        <f t="shared" si="4"/>
        <v>35652.978000000003</v>
      </c>
      <c r="R39">
        <f t="shared" si="5"/>
        <v>2.1536538162680377E-2</v>
      </c>
      <c r="T39">
        <f t="shared" si="6"/>
        <v>88.992700000002515</v>
      </c>
      <c r="AA39" s="6">
        <v>10</v>
      </c>
      <c r="AB39" s="6" t="s">
        <v>40</v>
      </c>
      <c r="AC39" s="12">
        <v>132</v>
      </c>
      <c r="AD39" s="13">
        <v>0</v>
      </c>
      <c r="AE39" s="12">
        <v>0</v>
      </c>
      <c r="AF39" s="13">
        <v>8</v>
      </c>
      <c r="AG39" s="13" t="s">
        <v>38</v>
      </c>
    </row>
    <row r="40" spans="1:33">
      <c r="A40" t="s">
        <v>42</v>
      </c>
      <c r="B40" s="12"/>
      <c r="C40" s="12">
        <v>50696.503799999999</v>
      </c>
      <c r="D40" s="13"/>
      <c r="E40">
        <f t="shared" si="0"/>
        <v>18151.812610869212</v>
      </c>
      <c r="F40">
        <f t="shared" si="1"/>
        <v>18152</v>
      </c>
      <c r="G40">
        <f t="shared" si="2"/>
        <v>-0.13944000000628876</v>
      </c>
      <c r="J40">
        <f t="shared" si="8"/>
        <v>-0.13944000000628876</v>
      </c>
      <c r="O40">
        <f t="shared" si="3"/>
        <v>-1.1953969503945873E-2</v>
      </c>
      <c r="Q40" s="2">
        <f t="shared" si="4"/>
        <v>35678.003799999999</v>
      </c>
      <c r="R40">
        <f t="shared" si="5"/>
        <v>1.6252687973244303E-2</v>
      </c>
      <c r="T40">
        <f t="shared" si="6"/>
        <v>25.025799999995797</v>
      </c>
      <c r="AA40" s="6">
        <v>10</v>
      </c>
      <c r="AB40" s="6" t="s">
        <v>40</v>
      </c>
      <c r="AC40" s="12">
        <v>141</v>
      </c>
      <c r="AD40" s="13">
        <v>0</v>
      </c>
      <c r="AE40" s="12">
        <v>0</v>
      </c>
      <c r="AF40" s="13">
        <v>21</v>
      </c>
      <c r="AG40" s="13" t="s">
        <v>38</v>
      </c>
    </row>
    <row r="41" spans="1:33">
      <c r="A41" t="s">
        <v>42</v>
      </c>
      <c r="B41" s="12"/>
      <c r="C41" s="12">
        <v>50717.366099999999</v>
      </c>
      <c r="D41" s="13"/>
      <c r="E41">
        <f t="shared" si="0"/>
        <v>18179.848814707304</v>
      </c>
      <c r="F41">
        <f t="shared" si="1"/>
        <v>18180</v>
      </c>
      <c r="G41">
        <f t="shared" si="2"/>
        <v>-0.11250000000291038</v>
      </c>
      <c r="J41">
        <f t="shared" si="8"/>
        <v>-0.11250000000291038</v>
      </c>
      <c r="O41">
        <f t="shared" si="3"/>
        <v>-1.1987442109211877E-2</v>
      </c>
      <c r="Q41" s="2">
        <f t="shared" si="4"/>
        <v>35698.866099999999</v>
      </c>
      <c r="R41">
        <f t="shared" si="5"/>
        <v>1.0102774294334094E-2</v>
      </c>
      <c r="T41">
        <f t="shared" si="6"/>
        <v>20.862300000000687</v>
      </c>
      <c r="AA41" s="6">
        <v>10</v>
      </c>
      <c r="AB41" s="6" t="s">
        <v>40</v>
      </c>
      <c r="AC41" s="12">
        <v>148</v>
      </c>
      <c r="AD41" s="13">
        <v>5</v>
      </c>
      <c r="AE41" s="12">
        <v>0</v>
      </c>
      <c r="AF41" s="13">
        <v>30</v>
      </c>
      <c r="AG41" s="13" t="s">
        <v>37</v>
      </c>
    </row>
    <row r="42" spans="1:33">
      <c r="A42" t="s">
        <v>42</v>
      </c>
      <c r="B42" s="12"/>
      <c r="C42" s="12">
        <v>50749.345500000003</v>
      </c>
      <c r="D42" s="13"/>
      <c r="E42">
        <f t="shared" si="0"/>
        <v>18222.824947589103</v>
      </c>
      <c r="F42">
        <f t="shared" si="1"/>
        <v>18223</v>
      </c>
      <c r="G42">
        <f t="shared" si="2"/>
        <v>-0.13025999999808846</v>
      </c>
      <c r="J42">
        <f t="shared" si="8"/>
        <v>-0.13025999999808846</v>
      </c>
      <c r="O42">
        <f t="shared" si="3"/>
        <v>-1.2038846467298959E-2</v>
      </c>
      <c r="Q42" s="2">
        <f t="shared" si="4"/>
        <v>35730.845500000003</v>
      </c>
      <c r="R42">
        <f t="shared" si="5"/>
        <v>1.3976241142150504E-2</v>
      </c>
      <c r="T42">
        <f t="shared" si="6"/>
        <v>31.979400000003807</v>
      </c>
      <c r="AA42" s="6">
        <v>10</v>
      </c>
      <c r="AB42" s="6" t="s">
        <v>40</v>
      </c>
      <c r="AC42" s="12">
        <v>160</v>
      </c>
      <c r="AD42" s="13">
        <v>0</v>
      </c>
      <c r="AE42" s="12">
        <v>0</v>
      </c>
      <c r="AF42" s="13">
        <v>13</v>
      </c>
      <c r="AG42" s="13" t="s">
        <v>37</v>
      </c>
    </row>
    <row r="43" spans="1:33">
      <c r="A43" t="s">
        <v>42</v>
      </c>
      <c r="B43" s="12"/>
      <c r="C43" s="12">
        <v>51045.515700000004</v>
      </c>
      <c r="D43" s="13"/>
      <c r="E43">
        <f t="shared" si="0"/>
        <v>18620.838977584266</v>
      </c>
      <c r="F43">
        <f t="shared" si="1"/>
        <v>18621</v>
      </c>
      <c r="G43">
        <f t="shared" si="2"/>
        <v>-0.11981999999261461</v>
      </c>
      <c r="J43">
        <f t="shared" si="8"/>
        <v>-0.11981999999261461</v>
      </c>
      <c r="O43">
        <f t="shared" si="3"/>
        <v>-1.2514635642151471E-2</v>
      </c>
      <c r="Q43" s="2">
        <f t="shared" si="4"/>
        <v>36027.015700000004</v>
      </c>
      <c r="R43">
        <f t="shared" si="5"/>
        <v>1.1514441218385647E-2</v>
      </c>
      <c r="T43">
        <f t="shared" si="6"/>
        <v>296.17020000000048</v>
      </c>
      <c r="AA43" s="6">
        <v>10</v>
      </c>
      <c r="AB43" s="6" t="s">
        <v>40</v>
      </c>
      <c r="AC43" s="12">
        <v>266</v>
      </c>
      <c r="AD43" s="13">
        <v>5</v>
      </c>
      <c r="AE43" s="12">
        <v>0</v>
      </c>
      <c r="AF43" s="13">
        <v>11</v>
      </c>
      <c r="AG43" s="13" t="s">
        <v>37</v>
      </c>
    </row>
    <row r="44" spans="1:33">
      <c r="A44" t="s">
        <v>42</v>
      </c>
      <c r="B44" s="12"/>
      <c r="C44" s="12">
        <v>51045.518700000001</v>
      </c>
      <c r="D44" s="13"/>
      <c r="E44">
        <f t="shared" si="0"/>
        <v>18620.843009192067</v>
      </c>
      <c r="F44">
        <f t="shared" si="1"/>
        <v>18621</v>
      </c>
      <c r="G44">
        <f t="shared" si="2"/>
        <v>-0.11681999999564141</v>
      </c>
      <c r="J44">
        <f t="shared" si="8"/>
        <v>-0.11681999999564141</v>
      </c>
      <c r="O44">
        <f t="shared" si="3"/>
        <v>-1.2514635642151471E-2</v>
      </c>
      <c r="Q44" s="2">
        <f t="shared" si="4"/>
        <v>36027.018700000001</v>
      </c>
      <c r="R44">
        <f t="shared" si="5"/>
        <v>1.0879609032914291E-2</v>
      </c>
      <c r="T44">
        <f t="shared" si="6"/>
        <v>2.9999999969732016E-3</v>
      </c>
      <c r="AA44" s="6">
        <v>10</v>
      </c>
      <c r="AB44" s="6" t="s">
        <v>40</v>
      </c>
      <c r="AC44" s="12">
        <v>266</v>
      </c>
      <c r="AD44" s="13">
        <v>5</v>
      </c>
      <c r="AE44" s="12">
        <v>0</v>
      </c>
      <c r="AF44" s="13">
        <v>19</v>
      </c>
      <c r="AG44" s="13" t="s">
        <v>39</v>
      </c>
    </row>
    <row r="45" spans="1:33">
      <c r="A45" t="s">
        <v>42</v>
      </c>
      <c r="B45" s="12"/>
      <c r="C45" s="12">
        <v>51376.453999999998</v>
      </c>
      <c r="D45" s="13"/>
      <c r="E45">
        <f t="shared" si="0"/>
        <v>19065.576788689992</v>
      </c>
      <c r="F45">
        <f t="shared" si="1"/>
        <v>19065.5</v>
      </c>
      <c r="G45">
        <f t="shared" si="2"/>
        <v>5.7139999997161794E-2</v>
      </c>
      <c r="J45">
        <f t="shared" si="8"/>
        <v>5.7139999997161794E-2</v>
      </c>
      <c r="O45">
        <f t="shared" si="3"/>
        <v>-1.3046013250749316E-2</v>
      </c>
      <c r="Q45" s="2">
        <f t="shared" si="4"/>
        <v>36357.953999999998</v>
      </c>
      <c r="R45">
        <f t="shared" si="5"/>
        <v>4.926076455635954E-3</v>
      </c>
      <c r="T45">
        <f t="shared" si="6"/>
        <v>330.93529999999737</v>
      </c>
      <c r="AA45" s="6">
        <v>10</v>
      </c>
      <c r="AB45" s="6" t="s">
        <v>40</v>
      </c>
      <c r="AC45" s="12">
        <v>385</v>
      </c>
      <c r="AD45" s="13">
        <v>5</v>
      </c>
      <c r="AE45" s="12">
        <v>0</v>
      </c>
      <c r="AF45" s="13">
        <v>25</v>
      </c>
      <c r="AG45" s="13" t="s">
        <v>37</v>
      </c>
    </row>
    <row r="46" spans="1:33">
      <c r="A46" t="s">
        <v>42</v>
      </c>
      <c r="B46" s="12"/>
      <c r="C46" s="12">
        <v>51426.506099999999</v>
      </c>
      <c r="D46" s="13"/>
      <c r="E46">
        <f t="shared" si="0"/>
        <v>19132.840267698757</v>
      </c>
      <c r="F46">
        <f t="shared" si="1"/>
        <v>19133</v>
      </c>
      <c r="G46">
        <f t="shared" si="2"/>
        <v>-0.11886000000231434</v>
      </c>
      <c r="J46">
        <f t="shared" si="8"/>
        <v>-0.11886000000231434</v>
      </c>
      <c r="O46">
        <f t="shared" si="3"/>
        <v>-1.312670613844415E-2</v>
      </c>
      <c r="Q46" s="2">
        <f t="shared" si="4"/>
        <v>36408.006099999999</v>
      </c>
      <c r="R46">
        <f t="shared" si="5"/>
        <v>1.117952943130353E-2</v>
      </c>
      <c r="T46">
        <f t="shared" si="6"/>
        <v>50.052100000000792</v>
      </c>
      <c r="AA46" s="6">
        <v>10</v>
      </c>
      <c r="AB46" s="6" t="s">
        <v>40</v>
      </c>
      <c r="AC46" s="12">
        <v>403</v>
      </c>
      <c r="AD46" s="13">
        <v>5</v>
      </c>
      <c r="AE46" s="12">
        <v>0</v>
      </c>
      <c r="AF46" s="13">
        <v>28</v>
      </c>
      <c r="AG46" s="13" t="s">
        <v>37</v>
      </c>
    </row>
    <row r="47" spans="1:33">
      <c r="A47" t="s">
        <v>42</v>
      </c>
      <c r="B47" s="12"/>
      <c r="C47" s="12">
        <v>51433.461000000003</v>
      </c>
      <c r="D47" s="13"/>
      <c r="E47">
        <f t="shared" si="0"/>
        <v>19142.18674407354</v>
      </c>
      <c r="F47">
        <f t="shared" si="1"/>
        <v>19142</v>
      </c>
      <c r="G47">
        <f t="shared" si="2"/>
        <v>0.13896000000386266</v>
      </c>
      <c r="J47">
        <f t="shared" si="8"/>
        <v>0.13896000000386266</v>
      </c>
      <c r="O47">
        <f t="shared" si="3"/>
        <v>-1.3137465190136796E-2</v>
      </c>
      <c r="Q47" s="2">
        <f t="shared" si="4"/>
        <v>36414.961000000003</v>
      </c>
      <c r="R47">
        <f t="shared" si="5"/>
        <v>2.3133638918439881E-2</v>
      </c>
      <c r="T47">
        <f t="shared" si="6"/>
        <v>6.9549000000042724</v>
      </c>
      <c r="AA47" s="6">
        <v>10</v>
      </c>
      <c r="AB47" s="6" t="s">
        <v>40</v>
      </c>
      <c r="AC47" s="12">
        <v>406</v>
      </c>
      <c r="AD47" s="13">
        <v>0</v>
      </c>
      <c r="AE47" s="12">
        <v>0</v>
      </c>
      <c r="AF47" s="13">
        <v>3</v>
      </c>
      <c r="AG47" s="13" t="s">
        <v>37</v>
      </c>
    </row>
    <row r="48" spans="1:33">
      <c r="A48" s="15" t="s">
        <v>47</v>
      </c>
      <c r="B48" s="6" t="s">
        <v>48</v>
      </c>
      <c r="C48" s="12">
        <v>52907.370999999999</v>
      </c>
      <c r="D48" s="16">
        <v>4.0000000000000001E-3</v>
      </c>
      <c r="E48">
        <f>+(C48-C$7)/C$8</f>
        <v>21122.929097457396</v>
      </c>
      <c r="F48">
        <f t="shared" si="1"/>
        <v>21123</v>
      </c>
      <c r="G48">
        <f>+C48-(C$7+F48*C$8)</f>
        <v>-5.2759999998670537E-2</v>
      </c>
      <c r="J48">
        <f>+G48</f>
        <v>-5.2759999998670537E-2</v>
      </c>
      <c r="O48">
        <f>+C$11+C$12*F48</f>
        <v>-1.5505652012706716E-2</v>
      </c>
      <c r="Q48" s="2">
        <f>+C48-15018.5</f>
        <v>37888.870999999999</v>
      </c>
      <c r="R48">
        <f t="shared" si="5"/>
        <v>1.3878864438592864E-3</v>
      </c>
      <c r="T48">
        <f t="shared" si="6"/>
        <v>1473.9099999999962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workbookViewId="0">
      <selection activeCell="C5" sqref="C5"/>
    </sheetView>
  </sheetViews>
  <sheetFormatPr defaultColWidth="10.28515625" defaultRowHeight="12.75"/>
  <cols>
    <col min="1" max="1" width="14.42578125" customWidth="1"/>
    <col min="2" max="2" width="12.425781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36" ht="20.25">
      <c r="A1" s="1" t="s">
        <v>30</v>
      </c>
      <c r="C1" s="14" t="s">
        <v>45</v>
      </c>
    </row>
    <row r="2" spans="1:36">
      <c r="A2" t="s">
        <v>26</v>
      </c>
      <c r="C2" s="14" t="s">
        <v>54</v>
      </c>
    </row>
    <row r="3" spans="1:36">
      <c r="C3" t="s">
        <v>52</v>
      </c>
    </row>
    <row r="4" spans="1:36">
      <c r="A4" s="8" t="s">
        <v>0</v>
      </c>
      <c r="C4" s="18">
        <v>37189.377</v>
      </c>
      <c r="D4" s="19">
        <v>0.74412</v>
      </c>
    </row>
    <row r="5" spans="1:36">
      <c r="C5" s="30" t="s">
        <v>61</v>
      </c>
    </row>
    <row r="6" spans="1:36">
      <c r="A6" s="8" t="s">
        <v>1</v>
      </c>
      <c r="AC6">
        <f>SLOPE(AC7:AC10,AD7:AD10)</f>
        <v>0.78500000000000003</v>
      </c>
    </row>
    <row r="7" spans="1:36">
      <c r="A7" t="s">
        <v>2</v>
      </c>
      <c r="C7">
        <f>+C4</f>
        <v>37189.377</v>
      </c>
      <c r="AC7">
        <v>0.9</v>
      </c>
      <c r="AD7">
        <v>1</v>
      </c>
    </row>
    <row r="8" spans="1:36">
      <c r="A8" t="s">
        <v>3</v>
      </c>
      <c r="C8">
        <v>0.99863400000000002</v>
      </c>
      <c r="AC8">
        <v>1.95</v>
      </c>
      <c r="AD8">
        <v>2</v>
      </c>
    </row>
    <row r="9" spans="1:36">
      <c r="AC9">
        <v>2.6</v>
      </c>
      <c r="AD9">
        <v>3</v>
      </c>
    </row>
    <row r="10" spans="1:36" ht="13.5" thickBot="1">
      <c r="C10" s="7" t="s">
        <v>21</v>
      </c>
      <c r="D10" s="7" t="s">
        <v>22</v>
      </c>
      <c r="AC10">
        <v>3.3</v>
      </c>
      <c r="AD10">
        <v>4</v>
      </c>
    </row>
    <row r="11" spans="1:36">
      <c r="A11" t="s">
        <v>16</v>
      </c>
      <c r="C11">
        <f>INTERCEPT(G21:G993,F21:F993)</f>
        <v>-4.3299111036459821E-3</v>
      </c>
      <c r="D11" s="6"/>
    </row>
    <row r="12" spans="1:36">
      <c r="A12" t="s">
        <v>17</v>
      </c>
      <c r="C12">
        <f>SLOPE(G21:G993,F21:F993)</f>
        <v>9.2369189607574749E-7</v>
      </c>
      <c r="D12" s="6"/>
    </row>
    <row r="13" spans="1:36">
      <c r="A13" t="s">
        <v>20</v>
      </c>
      <c r="C13" s="6" t="s">
        <v>14</v>
      </c>
      <c r="D13" s="6"/>
    </row>
    <row r="14" spans="1:36">
      <c r="A14" t="s">
        <v>25</v>
      </c>
    </row>
    <row r="15" spans="1:36">
      <c r="A15" s="3" t="s">
        <v>18</v>
      </c>
      <c r="C15" s="12">
        <v>51433.461000000003</v>
      </c>
      <c r="R15">
        <f>SUM(R22:R48)</f>
        <v>9.0510712061432977E-2</v>
      </c>
      <c r="W15" t="s">
        <v>49</v>
      </c>
    </row>
    <row r="16" spans="1:36">
      <c r="A16" s="8" t="s">
        <v>4</v>
      </c>
      <c r="C16">
        <f>+C8+C12</f>
        <v>0.9986349236918961</v>
      </c>
      <c r="R16">
        <f>COUNT(R22:R48)</f>
        <v>27</v>
      </c>
      <c r="U16">
        <v>1</v>
      </c>
      <c r="V16">
        <f>SLOPE(U28:U29,V28:V29)</f>
        <v>0.99000000000038801</v>
      </c>
      <c r="W16">
        <f>V16*U16</f>
        <v>0.99000000000038801</v>
      </c>
      <c r="X16">
        <f>SLOPE(W27:W29,X27:X29)</f>
        <v>0.99499999999967437</v>
      </c>
      <c r="Y16">
        <f>X16*W16</f>
        <v>0.98505000000006371</v>
      </c>
      <c r="Z16">
        <f>SLOPE(Y23:Y41,Z23:Z41)</f>
        <v>1.0003205040978995</v>
      </c>
      <c r="AA16">
        <f>Z16*Y16</f>
        <v>0.98536571256169969</v>
      </c>
      <c r="AB16">
        <f>SLOPE(AA23:AA41,AB23:AB41)</f>
        <v>1.0001703101327524</v>
      </c>
      <c r="AC16">
        <f>AB16*AA16</f>
        <v>0.98553353032701574</v>
      </c>
      <c r="AD16">
        <f>SLOPE(AC23:AC41,AD23:AD41)</f>
        <v>1.0000907933151943</v>
      </c>
      <c r="AE16">
        <f>AD16*AC16</f>
        <v>0.98562301018346932</v>
      </c>
      <c r="AF16">
        <f>SLOPE(AE23:AE41,AF23:AF41)</f>
        <v>1.000063795127685</v>
      </c>
      <c r="AG16">
        <f>AF16*AE16</f>
        <v>0.98568588812925317</v>
      </c>
      <c r="AH16">
        <f>SLOPE(AG23:AG41,AH23:AH41)</f>
        <v>1.0000343119673802</v>
      </c>
      <c r="AI16">
        <f>AH16*AG16</f>
        <v>0.98571970895129379</v>
      </c>
      <c r="AJ16">
        <f>SLOPE(AI23:AI41,AJ23:AJ41)</f>
        <v>1.0000015580418218</v>
      </c>
    </row>
    <row r="17" spans="1:38" ht="13.5" thickBot="1">
      <c r="D17" s="14" t="s">
        <v>51</v>
      </c>
      <c r="R17">
        <f>SQRT(R15/R16)</f>
        <v>5.7898606156520621E-2</v>
      </c>
    </row>
    <row r="18" spans="1:38">
      <c r="A18" s="8" t="s">
        <v>5</v>
      </c>
      <c r="C18" s="4">
        <f>+C15</f>
        <v>51433.461000000003</v>
      </c>
      <c r="D18" s="5">
        <f>+C16</f>
        <v>0.9986349236918961</v>
      </c>
    </row>
    <row r="19" spans="1:38" ht="13.5" thickTop="1"/>
    <row r="20" spans="1:38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44</v>
      </c>
      <c r="J20" s="10" t="s">
        <v>43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8">
      <c r="A21" t="s">
        <v>12</v>
      </c>
      <c r="C21">
        <v>37189.377</v>
      </c>
      <c r="D21" s="6" t="s">
        <v>14</v>
      </c>
      <c r="E21">
        <f t="shared" ref="E21:E48" si="0">+(C21-C$7)/C$8</f>
        <v>0</v>
      </c>
      <c r="F21">
        <f t="shared" ref="F21:F48" si="1">ROUND(2*E21,0)/2</f>
        <v>0</v>
      </c>
      <c r="G21">
        <f t="shared" ref="G21:G48" si="2">+C21-(C$7+F21*C$8)</f>
        <v>0</v>
      </c>
      <c r="H21">
        <f>+G21</f>
        <v>0</v>
      </c>
      <c r="O21">
        <f t="shared" ref="O21:O48" si="3">+C$11+C$12*F21</f>
        <v>-4.3299111036459821E-3</v>
      </c>
      <c r="Q21" s="2">
        <f t="shared" ref="Q21:Q48" si="4">+C21-15018.5</f>
        <v>22170.877</v>
      </c>
    </row>
    <row r="22" spans="1:38">
      <c r="A22" t="s">
        <v>42</v>
      </c>
      <c r="B22" s="12"/>
      <c r="C22" s="12">
        <v>33894.44</v>
      </c>
      <c r="D22" s="13"/>
      <c r="E22">
        <f t="shared" si="0"/>
        <v>-3299.4440405594023</v>
      </c>
      <c r="F22">
        <f t="shared" si="1"/>
        <v>-3299.5</v>
      </c>
      <c r="G22">
        <f t="shared" si="2"/>
        <v>5.5883000000903849E-2</v>
      </c>
      <c r="J22">
        <f>+G22</f>
        <v>5.5883000000903849E-2</v>
      </c>
      <c r="O22">
        <f t="shared" si="3"/>
        <v>-7.3776325147479112E-3</v>
      </c>
      <c r="Q22" s="2">
        <f t="shared" si="4"/>
        <v>18875.940000000002</v>
      </c>
      <c r="R22">
        <f t="shared" ref="R22:R48" si="5">(G22-O22)^2</f>
        <v>4.0019076262803356E-3</v>
      </c>
      <c r="AA22" s="6"/>
      <c r="AB22" s="6"/>
      <c r="AC22" s="12"/>
      <c r="AD22" s="13"/>
      <c r="AE22" s="12"/>
      <c r="AF22" s="13"/>
      <c r="AG22" s="13"/>
    </row>
    <row r="23" spans="1:38">
      <c r="A23" t="s">
        <v>42</v>
      </c>
      <c r="B23" s="12"/>
      <c r="C23" s="12">
        <v>36808.374000000003</v>
      </c>
      <c r="D23" s="13"/>
      <c r="E23">
        <f t="shared" si="0"/>
        <v>-381.5241620052962</v>
      </c>
      <c r="F23">
        <f t="shared" si="1"/>
        <v>-381.5</v>
      </c>
      <c r="G23">
        <f t="shared" si="2"/>
        <v>-2.4128999997628853E-2</v>
      </c>
      <c r="J23">
        <f>+G23</f>
        <v>-2.4128999997628853E-2</v>
      </c>
      <c r="O23">
        <f t="shared" si="3"/>
        <v>-4.6822995619988797E-3</v>
      </c>
      <c r="Q23" s="2">
        <f t="shared" si="4"/>
        <v>21789.874000000003</v>
      </c>
      <c r="R23">
        <f t="shared" si="5"/>
        <v>3.7817415783313101E-4</v>
      </c>
      <c r="S23">
        <f>+C23-C$22</f>
        <v>2913.9340000000011</v>
      </c>
      <c r="T23">
        <f t="shared" ref="T23:T48" si="6">C23-C22</f>
        <v>2913.9340000000011</v>
      </c>
      <c r="AA23" s="6"/>
      <c r="AB23" s="6"/>
      <c r="AC23" s="12"/>
      <c r="AD23" s="13"/>
      <c r="AE23" s="12"/>
      <c r="AF23" s="13"/>
      <c r="AG23" s="13"/>
    </row>
    <row r="24" spans="1:38">
      <c r="A24" t="s">
        <v>42</v>
      </c>
      <c r="B24" s="12"/>
      <c r="C24" s="12">
        <v>37189.377</v>
      </c>
      <c r="D24" s="13"/>
      <c r="E24">
        <f t="shared" si="0"/>
        <v>0</v>
      </c>
      <c r="F24">
        <f t="shared" si="1"/>
        <v>0</v>
      </c>
      <c r="G24">
        <f t="shared" si="2"/>
        <v>0</v>
      </c>
      <c r="J24">
        <f>+G24</f>
        <v>0</v>
      </c>
      <c r="O24">
        <f t="shared" si="3"/>
        <v>-4.3299111036459821E-3</v>
      </c>
      <c r="Q24" s="2">
        <f t="shared" si="4"/>
        <v>22170.877</v>
      </c>
      <c r="R24">
        <f t="shared" si="5"/>
        <v>1.8748130165476766E-5</v>
      </c>
      <c r="S24">
        <f t="shared" ref="S24:S48" si="7">+C24-C$22</f>
        <v>3294.9369999999981</v>
      </c>
      <c r="T24">
        <f t="shared" si="6"/>
        <v>381.00299999999697</v>
      </c>
      <c r="AA24" s="6"/>
      <c r="AB24" s="6"/>
      <c r="AC24" s="12"/>
      <c r="AD24" s="13"/>
      <c r="AE24" s="12"/>
      <c r="AF24" s="13"/>
      <c r="AG24" s="13"/>
    </row>
    <row r="25" spans="1:38">
      <c r="A25" t="s">
        <v>42</v>
      </c>
      <c r="B25" s="12"/>
      <c r="C25" s="12">
        <v>45646.239999999998</v>
      </c>
      <c r="D25" s="13"/>
      <c r="E25">
        <f t="shared" si="0"/>
        <v>8468.4308765774022</v>
      </c>
      <c r="F25">
        <f t="shared" si="1"/>
        <v>8468.5</v>
      </c>
      <c r="G25">
        <f t="shared" si="2"/>
        <v>-6.9028999998408835E-2</v>
      </c>
      <c r="J25">
        <f>+G25</f>
        <v>-6.9028999998408835E-2</v>
      </c>
      <c r="O25">
        <f t="shared" si="3"/>
        <v>3.4923737182714848E-3</v>
      </c>
      <c r="Q25" s="2">
        <f t="shared" si="4"/>
        <v>30627.739999999998</v>
      </c>
      <c r="R25">
        <f t="shared" si="5"/>
        <v>5.2593496457544117E-3</v>
      </c>
      <c r="S25">
        <f t="shared" si="7"/>
        <v>11751.799999999996</v>
      </c>
      <c r="T25">
        <f t="shared" si="6"/>
        <v>8456.8629999999976</v>
      </c>
      <c r="AA25" s="6"/>
      <c r="AB25" s="6"/>
      <c r="AC25" s="12"/>
      <c r="AD25" s="13"/>
      <c r="AE25" s="12"/>
      <c r="AF25" s="13"/>
      <c r="AG25" s="13"/>
    </row>
    <row r="26" spans="1:38">
      <c r="A26" t="s">
        <v>32</v>
      </c>
      <c r="C26" s="11">
        <v>48830.413</v>
      </c>
      <c r="D26">
        <v>5.0000000000000001E-3</v>
      </c>
      <c r="E26">
        <f t="shared" si="0"/>
        <v>11656.959406549346</v>
      </c>
      <c r="F26">
        <f t="shared" si="1"/>
        <v>11657</v>
      </c>
      <c r="G26">
        <f t="shared" si="2"/>
        <v>-4.0538000001106411E-2</v>
      </c>
      <c r="I26">
        <f t="shared" ref="I26:I32" si="8">+G26</f>
        <v>-4.0538000001106411E-2</v>
      </c>
      <c r="O26">
        <f t="shared" si="3"/>
        <v>6.4375653289090061E-3</v>
      </c>
      <c r="Q26" s="2">
        <f t="shared" si="4"/>
        <v>33811.913</v>
      </c>
      <c r="R26">
        <f t="shared" si="5"/>
        <v>2.2067037380745463E-3</v>
      </c>
      <c r="S26">
        <f t="shared" si="7"/>
        <v>14935.972999999998</v>
      </c>
      <c r="T26">
        <f t="shared" si="6"/>
        <v>3184.1730000000025</v>
      </c>
      <c r="AE26">
        <f t="shared" ref="AE26:AE32" si="9">+$S26-$S$28</f>
        <v>-37.972999999998137</v>
      </c>
      <c r="AF26">
        <f t="shared" ref="AF26:AF32" si="10">ROUND(2*AE26,0)/2</f>
        <v>-38</v>
      </c>
      <c r="AG26">
        <f t="shared" ref="AG26:AG33" si="11">+$S26-$S$28</f>
        <v>-37.972999999998137</v>
      </c>
      <c r="AH26">
        <f t="shared" ref="AH26:AH33" si="12">ROUND(2*AG26,0)/2</f>
        <v>-38</v>
      </c>
      <c r="AI26">
        <f t="shared" ref="AI26:AK34" si="13">+$S26-$S$28</f>
        <v>-37.972999999998137</v>
      </c>
      <c r="AJ26">
        <f t="shared" ref="AJ26:AJ34" si="14">ROUND(2*AI26,0)/2</f>
        <v>-38</v>
      </c>
      <c r="AK26">
        <f t="shared" si="13"/>
        <v>-37.972999999998137</v>
      </c>
      <c r="AL26">
        <f t="shared" ref="AL26:AL34" si="15">ROUND(2*AK26,0)/2</f>
        <v>-38</v>
      </c>
    </row>
    <row r="27" spans="1:38">
      <c r="A27" t="s">
        <v>32</v>
      </c>
      <c r="C27" s="11">
        <v>48862.404000000002</v>
      </c>
      <c r="D27">
        <v>5.0000000000000001E-3</v>
      </c>
      <c r="E27">
        <f t="shared" si="0"/>
        <v>11688.9941660308</v>
      </c>
      <c r="F27">
        <f t="shared" si="1"/>
        <v>11689</v>
      </c>
      <c r="G27">
        <f t="shared" si="2"/>
        <v>-5.8260000005248003E-3</v>
      </c>
      <c r="I27">
        <f t="shared" si="8"/>
        <v>-5.8260000005248003E-3</v>
      </c>
      <c r="O27">
        <f t="shared" si="3"/>
        <v>6.4671234695834303E-3</v>
      </c>
      <c r="Q27" s="2">
        <f t="shared" si="4"/>
        <v>33843.904000000002</v>
      </c>
      <c r="R27">
        <f t="shared" si="5"/>
        <v>1.511208846513258E-4</v>
      </c>
      <c r="S27">
        <f t="shared" si="7"/>
        <v>14967.964</v>
      </c>
      <c r="T27">
        <f t="shared" si="6"/>
        <v>31.991000000001804</v>
      </c>
      <c r="W27">
        <f>+$S27-$S$28</f>
        <v>-5.9819999999963329</v>
      </c>
      <c r="X27">
        <f>ROUND(2*W27,0)/2</f>
        <v>-6</v>
      </c>
      <c r="Y27">
        <f>+$S27-$S$28</f>
        <v>-5.9819999999963329</v>
      </c>
      <c r="Z27">
        <f>ROUND(2*Y27,0)/2</f>
        <v>-6</v>
      </c>
      <c r="AA27">
        <f>+$S27-$S$28</f>
        <v>-5.9819999999963329</v>
      </c>
      <c r="AB27">
        <f>ROUND(2*AA27,0)/2</f>
        <v>-6</v>
      </c>
      <c r="AC27">
        <f t="shared" ref="AC27:AC32" si="16">+$S27-$S$28</f>
        <v>-5.9819999999963329</v>
      </c>
      <c r="AD27">
        <f t="shared" ref="AD27:AD32" si="17">ROUND(2*AC27,0)/2</f>
        <v>-6</v>
      </c>
      <c r="AE27">
        <f t="shared" si="9"/>
        <v>-5.9819999999963329</v>
      </c>
      <c r="AF27">
        <f t="shared" si="10"/>
        <v>-6</v>
      </c>
      <c r="AG27">
        <f t="shared" si="11"/>
        <v>-5.9819999999963329</v>
      </c>
      <c r="AH27">
        <f t="shared" si="12"/>
        <v>-6</v>
      </c>
      <c r="AI27">
        <f t="shared" si="13"/>
        <v>-5.9819999999963329</v>
      </c>
      <c r="AJ27">
        <f t="shared" si="14"/>
        <v>-6</v>
      </c>
      <c r="AK27">
        <f t="shared" si="13"/>
        <v>-5.9819999999963329</v>
      </c>
      <c r="AL27">
        <f t="shared" si="15"/>
        <v>-6</v>
      </c>
    </row>
    <row r="28" spans="1:38">
      <c r="A28" t="s">
        <v>32</v>
      </c>
      <c r="C28" s="11">
        <v>48868.385999999999</v>
      </c>
      <c r="D28">
        <v>4.0000000000000001E-3</v>
      </c>
      <c r="E28">
        <f t="shared" si="0"/>
        <v>11694.984348620213</v>
      </c>
      <c r="F28">
        <f t="shared" si="1"/>
        <v>11695</v>
      </c>
      <c r="G28">
        <f t="shared" si="2"/>
        <v>-1.5630000001692679E-2</v>
      </c>
      <c r="I28">
        <f t="shared" si="8"/>
        <v>-1.5630000001692679E-2</v>
      </c>
      <c r="O28">
        <f t="shared" si="3"/>
        <v>6.472665620959884E-3</v>
      </c>
      <c r="Q28" s="2">
        <f t="shared" si="4"/>
        <v>33849.885999999999</v>
      </c>
      <c r="R28">
        <f t="shared" si="5"/>
        <v>4.8852782762678741E-4</v>
      </c>
      <c r="S28">
        <f t="shared" si="7"/>
        <v>14973.945999999996</v>
      </c>
      <c r="T28">
        <f t="shared" si="6"/>
        <v>5.9819999999963329</v>
      </c>
      <c r="U28">
        <v>0</v>
      </c>
      <c r="V28">
        <f>ROUND(2*U28,0)/2</f>
        <v>0</v>
      </c>
      <c r="W28">
        <f>+$S28-$S$28</f>
        <v>0</v>
      </c>
      <c r="X28">
        <f>ROUND(2*W28,0)/2</f>
        <v>0</v>
      </c>
      <c r="Y28">
        <f>+$S28-$S$28</f>
        <v>0</v>
      </c>
      <c r="Z28">
        <f>ROUND(2*Y28,0)/2</f>
        <v>0</v>
      </c>
      <c r="AA28">
        <f>+$S28-$S$28</f>
        <v>0</v>
      </c>
      <c r="AB28">
        <f>ROUND(2*AA28,0)/2</f>
        <v>0</v>
      </c>
      <c r="AC28">
        <f t="shared" si="16"/>
        <v>0</v>
      </c>
      <c r="AD28">
        <f t="shared" si="17"/>
        <v>0</v>
      </c>
      <c r="AE28">
        <f t="shared" si="9"/>
        <v>0</v>
      </c>
      <c r="AF28">
        <f t="shared" si="10"/>
        <v>0</v>
      </c>
      <c r="AG28">
        <f t="shared" si="11"/>
        <v>0</v>
      </c>
      <c r="AH28">
        <f t="shared" si="12"/>
        <v>0</v>
      </c>
      <c r="AI28">
        <f t="shared" si="13"/>
        <v>0</v>
      </c>
      <c r="AJ28">
        <f t="shared" si="14"/>
        <v>0</v>
      </c>
      <c r="AK28">
        <f t="shared" si="13"/>
        <v>0</v>
      </c>
      <c r="AL28">
        <f t="shared" si="15"/>
        <v>0</v>
      </c>
    </row>
    <row r="29" spans="1:38">
      <c r="A29" t="s">
        <v>32</v>
      </c>
      <c r="C29" s="11">
        <v>48871.356</v>
      </c>
      <c r="D29">
        <v>4.0000000000000001E-3</v>
      </c>
      <c r="E29">
        <f t="shared" si="0"/>
        <v>11697.958411189684</v>
      </c>
      <c r="F29">
        <f t="shared" si="1"/>
        <v>11698</v>
      </c>
      <c r="G29">
        <f t="shared" si="2"/>
        <v>-4.1532000002916902E-2</v>
      </c>
      <c r="I29">
        <f t="shared" si="8"/>
        <v>-4.1532000002916902E-2</v>
      </c>
      <c r="O29">
        <f t="shared" si="3"/>
        <v>6.4754366966481127E-3</v>
      </c>
      <c r="Q29" s="2">
        <f t="shared" si="4"/>
        <v>33852.856</v>
      </c>
      <c r="R29">
        <f t="shared" si="5"/>
        <v>2.3047139784627422E-3</v>
      </c>
      <c r="S29">
        <f t="shared" si="7"/>
        <v>14976.915999999997</v>
      </c>
      <c r="T29">
        <f t="shared" si="6"/>
        <v>2.9700000000011642</v>
      </c>
      <c r="U29">
        <f>+$S29-$S$28</f>
        <v>2.9700000000011642</v>
      </c>
      <c r="V29">
        <f>ROUND(2*U29,0)/2</f>
        <v>3</v>
      </c>
      <c r="W29">
        <f>+$S29-$S$28</f>
        <v>2.9700000000011642</v>
      </c>
      <c r="X29">
        <f>ROUND(2*W29,0)/2</f>
        <v>3</v>
      </c>
      <c r="Y29">
        <f>+$S29-$S$28</f>
        <v>2.9700000000011642</v>
      </c>
      <c r="Z29">
        <f>ROUND(2*Y29,0)/2</f>
        <v>3</v>
      </c>
      <c r="AA29">
        <f>+$S29-$S$28</f>
        <v>2.9700000000011642</v>
      </c>
      <c r="AB29">
        <f>ROUND(2*AA29,0)/2</f>
        <v>3</v>
      </c>
      <c r="AC29">
        <f t="shared" si="16"/>
        <v>2.9700000000011642</v>
      </c>
      <c r="AD29">
        <f t="shared" si="17"/>
        <v>3</v>
      </c>
      <c r="AE29">
        <f t="shared" si="9"/>
        <v>2.9700000000011642</v>
      </c>
      <c r="AF29">
        <f t="shared" si="10"/>
        <v>3</v>
      </c>
      <c r="AG29">
        <f t="shared" si="11"/>
        <v>2.9700000000011642</v>
      </c>
      <c r="AH29">
        <f t="shared" si="12"/>
        <v>3</v>
      </c>
      <c r="AI29">
        <f t="shared" si="13"/>
        <v>2.9700000000011642</v>
      </c>
      <c r="AJ29">
        <f t="shared" si="14"/>
        <v>3</v>
      </c>
      <c r="AK29">
        <f t="shared" si="13"/>
        <v>2.9700000000011642</v>
      </c>
      <c r="AL29">
        <f t="shared" si="15"/>
        <v>3</v>
      </c>
    </row>
    <row r="30" spans="1:38">
      <c r="A30" t="s">
        <v>34</v>
      </c>
      <c r="C30" s="11">
        <v>49176.482000000004</v>
      </c>
      <c r="D30">
        <v>6.0000000000000001E-3</v>
      </c>
      <c r="E30">
        <f t="shared" si="0"/>
        <v>12003.501783436177</v>
      </c>
      <c r="F30">
        <f t="shared" si="1"/>
        <v>12003.5</v>
      </c>
      <c r="G30">
        <f t="shared" si="2"/>
        <v>1.7809999990276992E-3</v>
      </c>
      <c r="I30">
        <f t="shared" si="8"/>
        <v>1.7809999990276992E-3</v>
      </c>
      <c r="O30">
        <f t="shared" si="3"/>
        <v>6.7576245708992526E-3</v>
      </c>
      <c r="Q30" s="2">
        <f t="shared" si="4"/>
        <v>34157.982000000004</v>
      </c>
      <c r="R30">
        <f t="shared" si="5"/>
        <v>2.4766792129355724E-5</v>
      </c>
      <c r="S30">
        <f t="shared" si="7"/>
        <v>15282.042000000001</v>
      </c>
      <c r="T30">
        <f t="shared" si="6"/>
        <v>305.12600000000384</v>
      </c>
      <c r="Y30">
        <f>+$S30-$S$28</f>
        <v>308.09600000000501</v>
      </c>
      <c r="Z30">
        <f>ROUND(2*Y30,0)/2</f>
        <v>308</v>
      </c>
      <c r="AA30">
        <f>+$S30-$S$28</f>
        <v>308.09600000000501</v>
      </c>
      <c r="AB30">
        <f>ROUND(2*AA30,0)/2</f>
        <v>308</v>
      </c>
      <c r="AC30">
        <f t="shared" si="16"/>
        <v>308.09600000000501</v>
      </c>
      <c r="AD30">
        <f t="shared" si="17"/>
        <v>308</v>
      </c>
      <c r="AE30">
        <f t="shared" si="9"/>
        <v>308.09600000000501</v>
      </c>
      <c r="AF30">
        <f t="shared" si="10"/>
        <v>308</v>
      </c>
      <c r="AG30">
        <f t="shared" si="11"/>
        <v>308.09600000000501</v>
      </c>
      <c r="AH30">
        <f t="shared" si="12"/>
        <v>308</v>
      </c>
      <c r="AI30">
        <f t="shared" si="13"/>
        <v>308.09600000000501</v>
      </c>
      <c r="AJ30">
        <f t="shared" si="14"/>
        <v>308</v>
      </c>
      <c r="AK30">
        <f t="shared" si="13"/>
        <v>308.09600000000501</v>
      </c>
      <c r="AL30">
        <f t="shared" si="15"/>
        <v>308</v>
      </c>
    </row>
    <row r="31" spans="1:38">
      <c r="A31" t="s">
        <v>35</v>
      </c>
      <c r="C31" s="11">
        <v>49211.402000000002</v>
      </c>
      <c r="D31">
        <v>7.0000000000000001E-3</v>
      </c>
      <c r="E31">
        <f t="shared" si="0"/>
        <v>12038.469549404488</v>
      </c>
      <c r="F31">
        <f t="shared" si="1"/>
        <v>12038.5</v>
      </c>
      <c r="G31">
        <f t="shared" si="2"/>
        <v>-3.0408999999053776E-2</v>
      </c>
      <c r="I31">
        <f t="shared" si="8"/>
        <v>-3.0408999999053776E-2</v>
      </c>
      <c r="O31">
        <f t="shared" si="3"/>
        <v>6.7899537872619037E-3</v>
      </c>
      <c r="Q31" s="2">
        <f t="shared" si="4"/>
        <v>34192.902000000002</v>
      </c>
      <c r="R31">
        <f t="shared" si="5"/>
        <v>1.3837621627964497E-3</v>
      </c>
      <c r="S31">
        <f t="shared" si="7"/>
        <v>15316.962</v>
      </c>
      <c r="T31">
        <f t="shared" si="6"/>
        <v>34.919999999998254</v>
      </c>
      <c r="AA31">
        <f>+$S31-$S$28</f>
        <v>343.01600000000326</v>
      </c>
      <c r="AB31">
        <f>ROUND(2*AA31,0)/2</f>
        <v>343</v>
      </c>
      <c r="AC31">
        <f t="shared" si="16"/>
        <v>343.01600000000326</v>
      </c>
      <c r="AD31">
        <f t="shared" si="17"/>
        <v>343</v>
      </c>
      <c r="AE31">
        <f t="shared" si="9"/>
        <v>343.01600000000326</v>
      </c>
      <c r="AF31">
        <f t="shared" si="10"/>
        <v>343</v>
      </c>
      <c r="AG31">
        <f t="shared" si="11"/>
        <v>343.01600000000326</v>
      </c>
      <c r="AH31">
        <f t="shared" si="12"/>
        <v>343</v>
      </c>
      <c r="AI31">
        <f t="shared" si="13"/>
        <v>343.01600000000326</v>
      </c>
      <c r="AJ31">
        <f t="shared" si="14"/>
        <v>343</v>
      </c>
      <c r="AK31">
        <f t="shared" si="13"/>
        <v>343.01600000000326</v>
      </c>
      <c r="AL31">
        <f t="shared" si="15"/>
        <v>343</v>
      </c>
    </row>
    <row r="32" spans="1:38">
      <c r="A32" t="s">
        <v>35</v>
      </c>
      <c r="C32" s="11">
        <v>49217.37</v>
      </c>
      <c r="D32">
        <v>5.0000000000000001E-3</v>
      </c>
      <c r="E32">
        <f t="shared" si="0"/>
        <v>12044.445712843746</v>
      </c>
      <c r="F32">
        <f t="shared" si="1"/>
        <v>12044.5</v>
      </c>
      <c r="G32">
        <f t="shared" si="2"/>
        <v>-5.4212999995797873E-2</v>
      </c>
      <c r="I32">
        <f t="shared" si="8"/>
        <v>-5.4212999995797873E-2</v>
      </c>
      <c r="O32">
        <f t="shared" si="3"/>
        <v>6.7954959386383592E-3</v>
      </c>
      <c r="Q32" s="2">
        <f t="shared" si="4"/>
        <v>34198.870000000003</v>
      </c>
      <c r="R32">
        <f t="shared" si="5"/>
        <v>3.7220365761821222E-3</v>
      </c>
      <c r="S32">
        <f t="shared" si="7"/>
        <v>15322.93</v>
      </c>
      <c r="T32">
        <f t="shared" si="6"/>
        <v>5.9680000000007567</v>
      </c>
      <c r="AC32">
        <f t="shared" si="16"/>
        <v>348.98400000000402</v>
      </c>
      <c r="AD32">
        <f t="shared" si="17"/>
        <v>349</v>
      </c>
      <c r="AE32">
        <f t="shared" si="9"/>
        <v>348.98400000000402</v>
      </c>
      <c r="AF32">
        <f t="shared" si="10"/>
        <v>349</v>
      </c>
      <c r="AG32">
        <f t="shared" si="11"/>
        <v>348.98400000000402</v>
      </c>
      <c r="AH32">
        <f t="shared" si="12"/>
        <v>349</v>
      </c>
      <c r="AI32">
        <f t="shared" si="13"/>
        <v>348.98400000000402</v>
      </c>
      <c r="AJ32">
        <f t="shared" si="14"/>
        <v>349</v>
      </c>
      <c r="AK32">
        <f t="shared" si="13"/>
        <v>348.98400000000402</v>
      </c>
      <c r="AL32">
        <f t="shared" si="15"/>
        <v>349</v>
      </c>
    </row>
    <row r="33" spans="1:38">
      <c r="A33" t="s">
        <v>35</v>
      </c>
      <c r="C33" s="11">
        <v>49249.381999999998</v>
      </c>
      <c r="D33">
        <v>5.0000000000000001E-3</v>
      </c>
      <c r="E33">
        <f t="shared" si="0"/>
        <v>12076.501501050432</v>
      </c>
      <c r="F33">
        <f t="shared" si="1"/>
        <v>12076.5</v>
      </c>
      <c r="G33">
        <f t="shared" si="2"/>
        <v>1.4989999981480651E-3</v>
      </c>
      <c r="J33">
        <f t="shared" ref="J33:J48" si="18">+G33</f>
        <v>1.4989999981480651E-3</v>
      </c>
      <c r="O33">
        <f t="shared" si="3"/>
        <v>6.8250540793127817E-3</v>
      </c>
      <c r="Q33" s="2">
        <f t="shared" si="4"/>
        <v>34230.881999999998</v>
      </c>
      <c r="R33">
        <f t="shared" si="5"/>
        <v>2.8366852075491333E-5</v>
      </c>
      <c r="S33">
        <f t="shared" si="7"/>
        <v>15354.941999999995</v>
      </c>
      <c r="T33">
        <f t="shared" si="6"/>
        <v>32.011999999995169</v>
      </c>
      <c r="AG33">
        <f t="shared" si="11"/>
        <v>380.99599999999919</v>
      </c>
      <c r="AH33">
        <f t="shared" si="12"/>
        <v>381</v>
      </c>
      <c r="AI33">
        <f t="shared" si="13"/>
        <v>380.99599999999919</v>
      </c>
      <c r="AJ33">
        <f t="shared" si="14"/>
        <v>381</v>
      </c>
      <c r="AK33">
        <f t="shared" si="13"/>
        <v>380.99599999999919</v>
      </c>
      <c r="AL33">
        <f t="shared" si="15"/>
        <v>381</v>
      </c>
    </row>
    <row r="34" spans="1:38">
      <c r="A34" t="s">
        <v>42</v>
      </c>
      <c r="B34" s="12"/>
      <c r="C34" s="12">
        <v>50304.393900000003</v>
      </c>
      <c r="D34" s="13"/>
      <c r="E34">
        <f t="shared" si="0"/>
        <v>13132.956518604416</v>
      </c>
      <c r="F34">
        <f t="shared" si="1"/>
        <v>13133</v>
      </c>
      <c r="G34">
        <f t="shared" si="2"/>
        <v>-4.3421999995189253E-2</v>
      </c>
      <c r="J34">
        <f t="shared" si="18"/>
        <v>-4.3421999995189253E-2</v>
      </c>
      <c r="O34">
        <f t="shared" si="3"/>
        <v>7.8009345675168094E-3</v>
      </c>
      <c r="Q34" s="2">
        <f t="shared" si="4"/>
        <v>35285.893900000003</v>
      </c>
      <c r="R34">
        <f t="shared" si="5"/>
        <v>2.623789025215267E-3</v>
      </c>
      <c r="S34">
        <f t="shared" si="7"/>
        <v>16409.9539</v>
      </c>
      <c r="T34">
        <f t="shared" si="6"/>
        <v>1055.011900000005</v>
      </c>
      <c r="AA34" s="6"/>
      <c r="AB34" s="6"/>
      <c r="AC34" s="12"/>
      <c r="AD34" s="13"/>
      <c r="AE34" s="12"/>
      <c r="AF34" s="13"/>
      <c r="AG34" s="13"/>
      <c r="AI34">
        <f t="shared" si="13"/>
        <v>1436.0079000000042</v>
      </c>
      <c r="AJ34">
        <f t="shared" si="14"/>
        <v>1436</v>
      </c>
      <c r="AK34">
        <f t="shared" si="13"/>
        <v>1436.0079000000042</v>
      </c>
      <c r="AL34">
        <f t="shared" si="15"/>
        <v>1436</v>
      </c>
    </row>
    <row r="35" spans="1:38">
      <c r="A35" t="s">
        <v>42</v>
      </c>
      <c r="B35" s="12"/>
      <c r="C35" s="12">
        <v>50315.5124</v>
      </c>
      <c r="D35" s="13"/>
      <c r="E35">
        <f t="shared" si="0"/>
        <v>13144.090227250423</v>
      </c>
      <c r="F35">
        <f t="shared" si="1"/>
        <v>13144</v>
      </c>
      <c r="G35">
        <f t="shared" si="2"/>
        <v>9.0103999995335471E-2</v>
      </c>
      <c r="J35">
        <f t="shared" si="18"/>
        <v>9.0103999995335471E-2</v>
      </c>
      <c r="O35">
        <f t="shared" si="3"/>
        <v>7.8110951783736437E-3</v>
      </c>
      <c r="Q35" s="2">
        <f t="shared" si="4"/>
        <v>35297.0124</v>
      </c>
      <c r="R35">
        <f t="shared" si="5"/>
        <v>6.77212218321354E-3</v>
      </c>
      <c r="S35">
        <f t="shared" si="7"/>
        <v>16421.072399999997</v>
      </c>
      <c r="T35">
        <f t="shared" si="6"/>
        <v>11.118499999996857</v>
      </c>
      <c r="AA35" s="6"/>
      <c r="AB35" s="6"/>
      <c r="AC35" s="12"/>
      <c r="AD35" s="13"/>
      <c r="AE35" s="12"/>
      <c r="AF35" s="13"/>
      <c r="AG35" s="13"/>
    </row>
    <row r="36" spans="1:38">
      <c r="A36" t="s">
        <v>42</v>
      </c>
      <c r="B36" s="12"/>
      <c r="C36" s="12">
        <v>50361.394800000002</v>
      </c>
      <c r="D36" s="13"/>
      <c r="E36">
        <f t="shared" si="0"/>
        <v>13190.035388340475</v>
      </c>
      <c r="F36">
        <f t="shared" si="1"/>
        <v>13190</v>
      </c>
      <c r="G36">
        <f t="shared" si="2"/>
        <v>3.5340000002179295E-2</v>
      </c>
      <c r="J36">
        <f t="shared" si="18"/>
        <v>3.5340000002179295E-2</v>
      </c>
      <c r="O36">
        <f t="shared" si="3"/>
        <v>7.8535850055931264E-3</v>
      </c>
      <c r="Q36" s="2">
        <f t="shared" si="4"/>
        <v>35342.894800000002</v>
      </c>
      <c r="R36">
        <f t="shared" si="5"/>
        <v>7.5550300936455702E-4</v>
      </c>
      <c r="S36">
        <f t="shared" si="7"/>
        <v>16466.9548</v>
      </c>
      <c r="T36">
        <f t="shared" si="6"/>
        <v>45.882400000002235</v>
      </c>
      <c r="AA36" s="6"/>
      <c r="AB36" s="6"/>
      <c r="AC36" s="12"/>
      <c r="AD36" s="13"/>
      <c r="AE36" s="12"/>
      <c r="AF36" s="13"/>
      <c r="AG36" s="13"/>
    </row>
    <row r="37" spans="1:38">
      <c r="A37" t="s">
        <v>42</v>
      </c>
      <c r="B37" s="12"/>
      <c r="C37" s="12">
        <v>50396.193700000003</v>
      </c>
      <c r="D37" s="13"/>
      <c r="E37">
        <f t="shared" si="0"/>
        <v>13224.881888659913</v>
      </c>
      <c r="F37">
        <f t="shared" si="1"/>
        <v>13225</v>
      </c>
      <c r="G37">
        <f t="shared" si="2"/>
        <v>-0.11794999999983702</v>
      </c>
      <c r="J37">
        <f t="shared" si="18"/>
        <v>-0.11794999999983702</v>
      </c>
      <c r="O37">
        <f t="shared" si="3"/>
        <v>7.8859142219557775E-3</v>
      </c>
      <c r="Q37" s="2">
        <f t="shared" si="4"/>
        <v>35377.693700000003</v>
      </c>
      <c r="R37">
        <f t="shared" si="5"/>
        <v>1.5834677308034395E-2</v>
      </c>
      <c r="S37">
        <f t="shared" si="7"/>
        <v>16501.753700000001</v>
      </c>
      <c r="T37">
        <f t="shared" si="6"/>
        <v>34.798900000001595</v>
      </c>
      <c r="AA37" s="6"/>
      <c r="AB37" s="6"/>
      <c r="AC37" s="12"/>
      <c r="AD37" s="13"/>
      <c r="AE37" s="12"/>
      <c r="AF37" s="13"/>
      <c r="AG37" s="13"/>
    </row>
    <row r="38" spans="1:38">
      <c r="A38" t="s">
        <v>42</v>
      </c>
      <c r="B38" s="12"/>
      <c r="C38" s="12">
        <v>50582.4853</v>
      </c>
      <c r="D38" s="13"/>
      <c r="E38">
        <f t="shared" si="0"/>
        <v>13411.428311072925</v>
      </c>
      <c r="F38">
        <f t="shared" si="1"/>
        <v>13411.5</v>
      </c>
      <c r="G38">
        <f t="shared" si="2"/>
        <v>-7.1590999999898486E-2</v>
      </c>
      <c r="J38">
        <f t="shared" si="18"/>
        <v>-7.1590999999898486E-2</v>
      </c>
      <c r="O38">
        <f t="shared" si="3"/>
        <v>8.0581827605739065E-3</v>
      </c>
      <c r="Q38" s="2">
        <f t="shared" si="4"/>
        <v>35563.9853</v>
      </c>
      <c r="R38">
        <f t="shared" si="5"/>
        <v>6.3439923144111322E-3</v>
      </c>
      <c r="S38">
        <f t="shared" si="7"/>
        <v>16688.045299999998</v>
      </c>
      <c r="T38">
        <f t="shared" si="6"/>
        <v>186.29159999999683</v>
      </c>
      <c r="AA38" s="6"/>
      <c r="AB38" s="6"/>
      <c r="AC38" s="12"/>
      <c r="AD38" s="13"/>
      <c r="AE38" s="12"/>
      <c r="AF38" s="13"/>
      <c r="AG38" s="13"/>
    </row>
    <row r="39" spans="1:38">
      <c r="A39" t="s">
        <v>42</v>
      </c>
      <c r="B39" s="12"/>
      <c r="C39" s="12">
        <v>50671.478000000003</v>
      </c>
      <c r="D39" s="13"/>
      <c r="E39">
        <f t="shared" si="0"/>
        <v>13500.542741384734</v>
      </c>
      <c r="F39">
        <f t="shared" si="1"/>
        <v>13500.5</v>
      </c>
      <c r="G39">
        <f t="shared" si="2"/>
        <v>4.2682999999669846E-2</v>
      </c>
      <c r="J39">
        <f t="shared" si="18"/>
        <v>4.2682999999669846E-2</v>
      </c>
      <c r="O39">
        <f t="shared" si="3"/>
        <v>8.1403913393246485E-3</v>
      </c>
      <c r="Q39" s="2">
        <f t="shared" si="4"/>
        <v>35652.978000000003</v>
      </c>
      <c r="R39">
        <f t="shared" si="5"/>
        <v>1.193191813061755E-3</v>
      </c>
      <c r="S39">
        <f t="shared" si="7"/>
        <v>16777.038</v>
      </c>
      <c r="T39">
        <f t="shared" si="6"/>
        <v>88.992700000002515</v>
      </c>
      <c r="AA39" s="6"/>
      <c r="AB39" s="6"/>
      <c r="AC39" s="12"/>
      <c r="AD39" s="13"/>
      <c r="AE39" s="12"/>
      <c r="AF39" s="13"/>
      <c r="AG39" s="13"/>
    </row>
    <row r="40" spans="1:38">
      <c r="A40" t="s">
        <v>42</v>
      </c>
      <c r="B40" s="12"/>
      <c r="C40" s="12">
        <v>50696.503799999999</v>
      </c>
      <c r="D40" s="13"/>
      <c r="E40">
        <f t="shared" si="0"/>
        <v>13525.602773388446</v>
      </c>
      <c r="F40">
        <f t="shared" si="1"/>
        <v>13525.5</v>
      </c>
      <c r="G40">
        <f t="shared" si="2"/>
        <v>0.10263299999496667</v>
      </c>
      <c r="J40">
        <f t="shared" si="18"/>
        <v>0.10263299999496667</v>
      </c>
      <c r="O40">
        <f t="shared" si="3"/>
        <v>8.1634836367265422E-3</v>
      </c>
      <c r="Q40" s="2">
        <f t="shared" si="4"/>
        <v>35678.003799999999</v>
      </c>
      <c r="R40">
        <f t="shared" si="5"/>
        <v>8.9244895209597986E-3</v>
      </c>
      <c r="S40">
        <f t="shared" si="7"/>
        <v>16802.063799999996</v>
      </c>
      <c r="T40">
        <f t="shared" si="6"/>
        <v>25.025799999995797</v>
      </c>
      <c r="AA40" s="6"/>
      <c r="AB40" s="6"/>
      <c r="AC40" s="12"/>
      <c r="AD40" s="13"/>
      <c r="AE40" s="12"/>
      <c r="AF40" s="13"/>
      <c r="AG40" s="13"/>
    </row>
    <row r="41" spans="1:38">
      <c r="A41" t="s">
        <v>42</v>
      </c>
      <c r="B41" s="12"/>
      <c r="C41" s="12">
        <v>50717.366099999999</v>
      </c>
      <c r="D41" s="13"/>
      <c r="E41">
        <f t="shared" si="0"/>
        <v>13546.493610271629</v>
      </c>
      <c r="F41">
        <f t="shared" si="1"/>
        <v>13546.5</v>
      </c>
      <c r="G41">
        <f t="shared" si="2"/>
        <v>-6.3809999992372468E-3</v>
      </c>
      <c r="J41">
        <f t="shared" si="18"/>
        <v>-6.3809999992372468E-3</v>
      </c>
      <c r="O41">
        <f t="shared" si="3"/>
        <v>8.1828811665441321E-3</v>
      </c>
      <c r="Q41" s="2">
        <f t="shared" si="4"/>
        <v>35698.866099999999</v>
      </c>
      <c r="R41">
        <f t="shared" si="5"/>
        <v>2.1210663461100157E-4</v>
      </c>
      <c r="S41">
        <f t="shared" si="7"/>
        <v>16822.926099999997</v>
      </c>
      <c r="T41">
        <f t="shared" si="6"/>
        <v>20.862300000000687</v>
      </c>
      <c r="AA41" s="6"/>
      <c r="AB41" s="6"/>
      <c r="AC41" s="12"/>
      <c r="AD41" s="13"/>
      <c r="AE41" s="12"/>
      <c r="AF41" s="13"/>
      <c r="AG41" s="13"/>
    </row>
    <row r="42" spans="1:38">
      <c r="A42" t="s">
        <v>42</v>
      </c>
      <c r="B42" s="12"/>
      <c r="C42" s="12">
        <v>50749.345500000003</v>
      </c>
      <c r="D42" s="13"/>
      <c r="E42">
        <f t="shared" si="0"/>
        <v>13578.51675388581</v>
      </c>
      <c r="F42">
        <f t="shared" si="1"/>
        <v>13578.5</v>
      </c>
      <c r="G42">
        <f t="shared" si="2"/>
        <v>1.6731000003346708E-2</v>
      </c>
      <c r="J42">
        <f t="shared" si="18"/>
        <v>1.6731000003346708E-2</v>
      </c>
      <c r="O42">
        <f t="shared" si="3"/>
        <v>8.2124393072185546E-3</v>
      </c>
      <c r="Q42" s="2">
        <f t="shared" si="4"/>
        <v>35730.845500000003</v>
      </c>
      <c r="R42">
        <f t="shared" si="5"/>
        <v>7.2565876333619366E-5</v>
      </c>
      <c r="S42">
        <f t="shared" si="7"/>
        <v>16854.905500000001</v>
      </c>
      <c r="T42">
        <f t="shared" si="6"/>
        <v>31.979400000003807</v>
      </c>
      <c r="AA42" s="6"/>
      <c r="AB42" s="6"/>
      <c r="AC42" s="12"/>
      <c r="AD42" s="13"/>
      <c r="AE42" s="12"/>
      <c r="AF42" s="13"/>
      <c r="AG42" s="13"/>
    </row>
    <row r="43" spans="1:38">
      <c r="A43" t="s">
        <v>42</v>
      </c>
      <c r="B43" s="12"/>
      <c r="C43" s="12">
        <v>51045.515700000004</v>
      </c>
      <c r="D43" s="13"/>
      <c r="E43">
        <f t="shared" si="0"/>
        <v>13875.092075775512</v>
      </c>
      <c r="F43">
        <f t="shared" si="1"/>
        <v>13875</v>
      </c>
      <c r="G43">
        <f t="shared" si="2"/>
        <v>9.1950000001816079E-2</v>
      </c>
      <c r="J43">
        <f t="shared" si="18"/>
        <v>9.1950000001816079E-2</v>
      </c>
      <c r="O43">
        <f t="shared" si="3"/>
        <v>8.4863139544050156E-3</v>
      </c>
      <c r="Q43" s="2">
        <f t="shared" si="4"/>
        <v>36027.015700000004</v>
      </c>
      <c r="R43">
        <f t="shared" si="5"/>
        <v>6.9661868886207994E-3</v>
      </c>
      <c r="S43">
        <f t="shared" si="7"/>
        <v>17151.075700000001</v>
      </c>
      <c r="T43">
        <f t="shared" si="6"/>
        <v>296.17020000000048</v>
      </c>
      <c r="AA43" s="6"/>
      <c r="AB43" s="6"/>
      <c r="AC43" s="12"/>
      <c r="AD43" s="13"/>
      <c r="AE43" s="12"/>
      <c r="AF43" s="13"/>
      <c r="AG43" s="13"/>
    </row>
    <row r="44" spans="1:38">
      <c r="A44" t="s">
        <v>42</v>
      </c>
      <c r="B44" s="12"/>
      <c r="C44" s="12">
        <v>51045.518700000001</v>
      </c>
      <c r="D44" s="13"/>
      <c r="E44">
        <f t="shared" si="0"/>
        <v>13875.095079879115</v>
      </c>
      <c r="F44">
        <f t="shared" si="1"/>
        <v>13875</v>
      </c>
      <c r="G44">
        <f t="shared" si="2"/>
        <v>9.4949999998789281E-2</v>
      </c>
      <c r="J44">
        <f t="shared" si="18"/>
        <v>9.4949999998789281E-2</v>
      </c>
      <c r="O44">
        <f t="shared" si="3"/>
        <v>8.4863139544050156E-3</v>
      </c>
      <c r="Q44" s="2">
        <f t="shared" si="4"/>
        <v>36027.018700000001</v>
      </c>
      <c r="R44">
        <f t="shared" si="5"/>
        <v>7.4759690043818489E-3</v>
      </c>
      <c r="S44">
        <f t="shared" si="7"/>
        <v>17151.078699999998</v>
      </c>
      <c r="T44">
        <f t="shared" si="6"/>
        <v>2.9999999969732016E-3</v>
      </c>
      <c r="AA44" s="6"/>
      <c r="AB44" s="6"/>
      <c r="AC44" s="12"/>
      <c r="AD44" s="13"/>
      <c r="AE44" s="12"/>
      <c r="AF44" s="13"/>
      <c r="AG44" s="13"/>
    </row>
    <row r="45" spans="1:38">
      <c r="A45" t="s">
        <v>42</v>
      </c>
      <c r="B45" s="12"/>
      <c r="C45" s="12">
        <v>51376.453999999998</v>
      </c>
      <c r="D45" s="13"/>
      <c r="E45">
        <f t="shared" si="0"/>
        <v>14206.483055854294</v>
      </c>
      <c r="F45">
        <f t="shared" si="1"/>
        <v>14206.5</v>
      </c>
      <c r="G45">
        <f t="shared" si="2"/>
        <v>-1.6921000002184883E-2</v>
      </c>
      <c r="J45">
        <f t="shared" si="18"/>
        <v>-1.6921000002184883E-2</v>
      </c>
      <c r="O45">
        <f t="shared" si="3"/>
        <v>8.7925178179541243E-3</v>
      </c>
      <c r="Q45" s="2">
        <f t="shared" si="4"/>
        <v>36357.953999999998</v>
      </c>
      <c r="R45">
        <f t="shared" si="5"/>
        <v>6.6118499868660628E-4</v>
      </c>
      <c r="S45">
        <f t="shared" si="7"/>
        <v>17482.013999999996</v>
      </c>
      <c r="T45">
        <f t="shared" si="6"/>
        <v>330.93529999999737</v>
      </c>
      <c r="AA45" s="6"/>
      <c r="AB45" s="6"/>
      <c r="AC45" s="12"/>
      <c r="AD45" s="13"/>
      <c r="AE45" s="12"/>
      <c r="AF45" s="13"/>
      <c r="AG45" s="13"/>
    </row>
    <row r="46" spans="1:38">
      <c r="A46" t="s">
        <v>42</v>
      </c>
      <c r="B46" s="12"/>
      <c r="C46" s="12">
        <v>51426.506099999999</v>
      </c>
      <c r="D46" s="13"/>
      <c r="E46">
        <f t="shared" si="0"/>
        <v>14256.603620545664</v>
      </c>
      <c r="F46">
        <f t="shared" si="1"/>
        <v>14256.5</v>
      </c>
      <c r="G46">
        <f t="shared" si="2"/>
        <v>0.10347899999760557</v>
      </c>
      <c r="J46">
        <f t="shared" si="18"/>
        <v>0.10347899999760557</v>
      </c>
      <c r="O46">
        <f t="shared" si="3"/>
        <v>8.8387024127579115E-3</v>
      </c>
      <c r="Q46" s="2">
        <f t="shared" si="4"/>
        <v>36408.006099999999</v>
      </c>
      <c r="R46">
        <f t="shared" si="5"/>
        <v>8.9567859269485215E-3</v>
      </c>
      <c r="S46">
        <f t="shared" si="7"/>
        <v>17532.066099999996</v>
      </c>
      <c r="T46">
        <f t="shared" si="6"/>
        <v>50.052100000000792</v>
      </c>
      <c r="AA46" s="6"/>
      <c r="AB46" s="6"/>
      <c r="AC46" s="12"/>
      <c r="AD46" s="13"/>
      <c r="AE46" s="12"/>
      <c r="AF46" s="13"/>
      <c r="AG46" s="13"/>
    </row>
    <row r="47" spans="1:38">
      <c r="A47" t="s">
        <v>42</v>
      </c>
      <c r="B47" s="12"/>
      <c r="C47" s="12">
        <v>51433.461000000003</v>
      </c>
      <c r="D47" s="13"/>
      <c r="E47">
        <f t="shared" si="0"/>
        <v>14263.568033934356</v>
      </c>
      <c r="F47">
        <f t="shared" si="1"/>
        <v>14263.5</v>
      </c>
      <c r="G47">
        <f t="shared" si="2"/>
        <v>6.7941000001155771E-2</v>
      </c>
      <c r="J47">
        <f t="shared" si="18"/>
        <v>6.7941000001155771E-2</v>
      </c>
      <c r="O47">
        <f t="shared" si="3"/>
        <v>8.8451682560304438E-3</v>
      </c>
      <c r="Q47" s="2">
        <f t="shared" si="4"/>
        <v>36414.961000000003</v>
      </c>
      <c r="R47">
        <f t="shared" si="5"/>
        <v>3.4923173296481621E-3</v>
      </c>
      <c r="S47">
        <f t="shared" si="7"/>
        <v>17539.021000000001</v>
      </c>
      <c r="T47">
        <f t="shared" si="6"/>
        <v>6.9549000000042724</v>
      </c>
      <c r="AA47" s="6"/>
      <c r="AB47" s="6"/>
      <c r="AC47" s="12"/>
      <c r="AD47" s="13"/>
      <c r="AE47" s="12"/>
      <c r="AF47" s="13"/>
      <c r="AG47" s="13"/>
    </row>
    <row r="48" spans="1:38">
      <c r="A48" s="15" t="s">
        <v>47</v>
      </c>
      <c r="B48" s="6" t="s">
        <v>48</v>
      </c>
      <c r="C48" s="12">
        <v>52907.370999999999</v>
      </c>
      <c r="D48" s="16">
        <v>4.0000000000000001E-3</v>
      </c>
      <c r="E48">
        <f t="shared" si="0"/>
        <v>15739.494149007543</v>
      </c>
      <c r="F48">
        <f t="shared" si="1"/>
        <v>15739.5</v>
      </c>
      <c r="G48">
        <f t="shared" si="2"/>
        <v>-5.8429999990039505E-3</v>
      </c>
      <c r="J48">
        <f t="shared" si="18"/>
        <v>-5.8429999990039505E-3</v>
      </c>
      <c r="O48">
        <f t="shared" si="3"/>
        <v>1.0208537494638247E-2</v>
      </c>
      <c r="Q48" s="2">
        <f t="shared" si="4"/>
        <v>37888.870999999999</v>
      </c>
      <c r="R48">
        <f t="shared" si="5"/>
        <v>2.5765185590980122E-4</v>
      </c>
      <c r="S48">
        <f t="shared" si="7"/>
        <v>19012.930999999997</v>
      </c>
      <c r="T48">
        <f t="shared" si="6"/>
        <v>1473.9099999999962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4" workbookViewId="0">
      <selection activeCell="C5" sqref="C5"/>
    </sheetView>
  </sheetViews>
  <sheetFormatPr defaultColWidth="10.28515625" defaultRowHeight="12.75"/>
  <cols>
    <col min="1" max="1" width="14.42578125" customWidth="1"/>
    <col min="2" max="2" width="12.425781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>
      <c r="A1" s="1" t="s">
        <v>30</v>
      </c>
      <c r="C1" s="14" t="s">
        <v>45</v>
      </c>
    </row>
    <row r="2" spans="1:18">
      <c r="A2" t="s">
        <v>26</v>
      </c>
      <c r="B2" s="24" t="s">
        <v>55</v>
      </c>
      <c r="C2" s="14" t="s">
        <v>46</v>
      </c>
    </row>
    <row r="3" spans="1:18" ht="13.5" thickBot="1">
      <c r="C3" t="s">
        <v>61</v>
      </c>
    </row>
    <row r="4" spans="1:18" ht="14.25" thickTop="1" thickBot="1">
      <c r="A4" s="8" t="s">
        <v>0</v>
      </c>
      <c r="C4" s="18">
        <v>37189.377</v>
      </c>
      <c r="D4" s="19">
        <v>0.74412</v>
      </c>
    </row>
    <row r="5" spans="1:18" ht="13.5" thickTop="1">
      <c r="C5" s="30" t="s">
        <v>61</v>
      </c>
    </row>
    <row r="6" spans="1:18">
      <c r="A6" s="8" t="s">
        <v>1</v>
      </c>
    </row>
    <row r="7" spans="1:18">
      <c r="A7" t="s">
        <v>2</v>
      </c>
      <c r="C7">
        <v>50304.39</v>
      </c>
      <c r="D7" s="17" t="s">
        <v>50</v>
      </c>
    </row>
    <row r="8" spans="1:18">
      <c r="A8" t="s">
        <v>3</v>
      </c>
      <c r="C8">
        <v>2.7809637</v>
      </c>
      <c r="D8" s="20">
        <v>5204</v>
      </c>
    </row>
    <row r="10" spans="1:18" ht="13.5" thickBot="1">
      <c r="C10" s="7" t="s">
        <v>21</v>
      </c>
      <c r="D10" s="7" t="s">
        <v>22</v>
      </c>
    </row>
    <row r="11" spans="1:18">
      <c r="A11" t="s">
        <v>16</v>
      </c>
      <c r="C11">
        <f>INTERCEPT(G21:G993,F21:F993)</f>
        <v>-7.8573310179645885E-3</v>
      </c>
      <c r="D11" s="6"/>
    </row>
    <row r="12" spans="1:18">
      <c r="A12" t="s">
        <v>17</v>
      </c>
      <c r="C12">
        <f>SLOPE(G21:G993,F21:F993)</f>
        <v>-8.6306735813593747E-7</v>
      </c>
      <c r="D12" s="6"/>
    </row>
    <row r="13" spans="1:18">
      <c r="A13" t="s">
        <v>20</v>
      </c>
      <c r="C13" s="6" t="s">
        <v>14</v>
      </c>
      <c r="D13" s="6"/>
    </row>
    <row r="14" spans="1:18">
      <c r="A14" t="s">
        <v>25</v>
      </c>
    </row>
    <row r="15" spans="1:18">
      <c r="A15" s="3" t="s">
        <v>18</v>
      </c>
      <c r="C15" s="12">
        <v>52907.370999999999</v>
      </c>
      <c r="R15">
        <f>SUM(R22:R48)</f>
        <v>1.3565089208885271E-2</v>
      </c>
    </row>
    <row r="16" spans="1:18">
      <c r="A16" s="8" t="s">
        <v>4</v>
      </c>
      <c r="C16">
        <f>+C8+C12</f>
        <v>2.780962836932642</v>
      </c>
      <c r="R16">
        <f>COUNT(R22:R48)</f>
        <v>25</v>
      </c>
    </row>
    <row r="17" spans="1:20" ht="13.5" thickBot="1">
      <c r="R17">
        <f>SQRT(R15/R16)</f>
        <v>2.32938525872259E-2</v>
      </c>
    </row>
    <row r="18" spans="1:20" ht="14.25" thickTop="1" thickBot="1">
      <c r="A18" s="8" t="s">
        <v>5</v>
      </c>
      <c r="C18" s="4">
        <f>+C15</f>
        <v>52907.370999999999</v>
      </c>
      <c r="D18" s="5">
        <f>+C16</f>
        <v>2.780962836932642</v>
      </c>
    </row>
    <row r="19" spans="1:20" ht="13.5" thickTop="1">
      <c r="C19" s="23">
        <f>COUNT(C21:C1925)</f>
        <v>30</v>
      </c>
    </row>
    <row r="20" spans="1:2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44</v>
      </c>
      <c r="J20" s="10" t="s">
        <v>43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20">
      <c r="A21" t="s">
        <v>42</v>
      </c>
      <c r="B21" s="12"/>
      <c r="C21" s="21">
        <v>33894.44</v>
      </c>
      <c r="D21" s="13"/>
      <c r="E21">
        <f t="shared" ref="E21:E50" si="0">+(C21-C$7)/C$8</f>
        <v>-5900.8141674053486</v>
      </c>
      <c r="F21">
        <f t="shared" ref="F21:F50" si="1">ROUND(2*E21,0)/2</f>
        <v>-5901</v>
      </c>
      <c r="J21" s="17">
        <v>0.50498450000304729</v>
      </c>
      <c r="O21">
        <f t="shared" ref="O21:O50" si="2">+C$11+C$12*F21</f>
        <v>-2.7643705376044214E-3</v>
      </c>
      <c r="Q21" s="2">
        <f t="shared" ref="Q21:Q50" si="3">+C21-15018.5</f>
        <v>18875.940000000002</v>
      </c>
      <c r="R21">
        <f>(G21-O21)^2</f>
        <v>7.6417444691753581E-6</v>
      </c>
    </row>
    <row r="22" spans="1:20">
      <c r="A22" t="s">
        <v>42</v>
      </c>
      <c r="B22" s="12"/>
      <c r="C22" s="12">
        <v>36808.374000000003</v>
      </c>
      <c r="D22" s="13"/>
      <c r="E22">
        <f t="shared" si="0"/>
        <v>-4852.9996993488248</v>
      </c>
      <c r="F22">
        <f t="shared" si="1"/>
        <v>-4853</v>
      </c>
      <c r="G22">
        <f t="shared" ref="G22:G27" si="4">+C22-(C$7+F22*C$8)</f>
        <v>8.3610000001499429E-4</v>
      </c>
      <c r="J22">
        <f>+G22</f>
        <v>8.3610000001499429E-4</v>
      </c>
      <c r="O22">
        <f t="shared" si="2"/>
        <v>-3.6688651289308837E-3</v>
      </c>
      <c r="Q22" s="2">
        <f t="shared" si="3"/>
        <v>21789.874000000003</v>
      </c>
      <c r="R22">
        <f>(G22-O22)^2</f>
        <v>2.0294710813018352E-5</v>
      </c>
      <c r="S22">
        <f>+C22-C$22</f>
        <v>0</v>
      </c>
      <c r="T22">
        <f>C22-C21</f>
        <v>2913.9340000000011</v>
      </c>
    </row>
    <row r="23" spans="1:20">
      <c r="A23" t="s">
        <v>12</v>
      </c>
      <c r="C23">
        <v>37189.377</v>
      </c>
      <c r="D23" s="6" t="s">
        <v>14</v>
      </c>
      <c r="E23">
        <f t="shared" si="0"/>
        <v>-4715.995753558379</v>
      </c>
      <c r="F23">
        <f t="shared" si="1"/>
        <v>-4716</v>
      </c>
      <c r="G23">
        <f t="shared" si="4"/>
        <v>1.1809199997514952E-2</v>
      </c>
      <c r="H23">
        <f>+G23</f>
        <v>1.1809199997514952E-2</v>
      </c>
      <c r="O23">
        <f t="shared" si="2"/>
        <v>-3.7871053569955076E-3</v>
      </c>
      <c r="Q23" s="2">
        <f t="shared" si="3"/>
        <v>22170.877</v>
      </c>
    </row>
    <row r="24" spans="1:20">
      <c r="A24" t="s">
        <v>42</v>
      </c>
      <c r="B24" s="12"/>
      <c r="C24" s="12">
        <v>37189.377</v>
      </c>
      <c r="D24" s="13"/>
      <c r="E24">
        <f t="shared" si="0"/>
        <v>-4715.995753558379</v>
      </c>
      <c r="F24">
        <f t="shared" si="1"/>
        <v>-4716</v>
      </c>
      <c r="G24">
        <f t="shared" si="4"/>
        <v>1.1809199997514952E-2</v>
      </c>
      <c r="J24">
        <f>+G24</f>
        <v>1.1809199997514952E-2</v>
      </c>
      <c r="O24">
        <f t="shared" si="2"/>
        <v>-3.7871053569955076E-3</v>
      </c>
      <c r="Q24" s="2">
        <f t="shared" si="3"/>
        <v>22170.877</v>
      </c>
      <c r="R24">
        <f t="shared" ref="R24:R47" si="5">(G24-O24)^2</f>
        <v>2.4324474071113166E-4</v>
      </c>
      <c r="S24">
        <f t="shared" ref="S24:S47" si="6">+C24-C$22</f>
        <v>381.00299999999697</v>
      </c>
      <c r="T24">
        <f t="shared" ref="T24:T47" si="7">C24-C23</f>
        <v>0</v>
      </c>
    </row>
    <row r="25" spans="1:20">
      <c r="A25" t="s">
        <v>42</v>
      </c>
      <c r="B25" s="12"/>
      <c r="C25" s="12">
        <v>45646.239999999998</v>
      </c>
      <c r="D25" s="13"/>
      <c r="E25">
        <f t="shared" si="0"/>
        <v>-1675.0128741342439</v>
      </c>
      <c r="F25">
        <f t="shared" si="1"/>
        <v>-1675</v>
      </c>
      <c r="G25">
        <f t="shared" si="4"/>
        <v>-3.5802500002318993E-2</v>
      </c>
      <c r="J25">
        <f>+G25</f>
        <v>-3.5802500002318993E-2</v>
      </c>
      <c r="O25">
        <f t="shared" si="2"/>
        <v>-6.4116931930868933E-3</v>
      </c>
      <c r="Q25" s="2">
        <f t="shared" si="3"/>
        <v>30627.739999999998</v>
      </c>
      <c r="R25">
        <f t="shared" si="5"/>
        <v>8.6381952489760394E-4</v>
      </c>
      <c r="S25">
        <f t="shared" si="6"/>
        <v>8837.8659999999945</v>
      </c>
      <c r="T25">
        <f t="shared" si="7"/>
        <v>8456.8629999999976</v>
      </c>
    </row>
    <row r="26" spans="1:20">
      <c r="A26" t="s">
        <v>32</v>
      </c>
      <c r="C26" s="11">
        <v>48830.413</v>
      </c>
      <c r="D26">
        <v>5.0000000000000001E-3</v>
      </c>
      <c r="E26">
        <f t="shared" si="0"/>
        <v>-530.02381872154569</v>
      </c>
      <c r="F26">
        <f t="shared" si="1"/>
        <v>-530</v>
      </c>
      <c r="G26">
        <f t="shared" si="4"/>
        <v>-6.6238999999768566E-2</v>
      </c>
      <c r="I26">
        <f>+G26</f>
        <v>-6.6238999999768566E-2</v>
      </c>
      <c r="O26">
        <f t="shared" si="2"/>
        <v>-7.3999053181525417E-3</v>
      </c>
      <c r="Q26" s="2">
        <f t="shared" si="3"/>
        <v>33811.913</v>
      </c>
      <c r="R26">
        <f t="shared" si="5"/>
        <v>3.4620390629521748E-3</v>
      </c>
      <c r="S26">
        <f t="shared" si="6"/>
        <v>12022.038999999997</v>
      </c>
      <c r="T26">
        <f t="shared" si="7"/>
        <v>3184.1730000000025</v>
      </c>
    </row>
    <row r="27" spans="1:20">
      <c r="A27" t="s">
        <v>32</v>
      </c>
      <c r="C27" s="11">
        <v>48862.404000000002</v>
      </c>
      <c r="D27">
        <v>5.0000000000000001E-3</v>
      </c>
      <c r="E27">
        <f t="shared" si="0"/>
        <v>-518.52025252972453</v>
      </c>
      <c r="F27">
        <f t="shared" si="1"/>
        <v>-518.5</v>
      </c>
      <c r="G27">
        <f t="shared" si="4"/>
        <v>-5.6321550000575371E-2</v>
      </c>
      <c r="I27">
        <f>+G27</f>
        <v>-5.6321550000575371E-2</v>
      </c>
      <c r="O27">
        <f t="shared" si="2"/>
        <v>-7.4098305927711048E-3</v>
      </c>
      <c r="Q27" s="2">
        <f t="shared" si="3"/>
        <v>33843.904000000002</v>
      </c>
      <c r="R27">
        <f t="shared" si="5"/>
        <v>2.3923562954277769E-3</v>
      </c>
      <c r="S27">
        <f t="shared" si="6"/>
        <v>12054.029999999999</v>
      </c>
      <c r="T27">
        <f t="shared" si="7"/>
        <v>31.991000000001804</v>
      </c>
    </row>
    <row r="28" spans="1:20">
      <c r="A28" t="s">
        <v>32</v>
      </c>
      <c r="C28" s="22">
        <v>48868.385999999999</v>
      </c>
      <c r="D28">
        <v>4.0000000000000001E-3</v>
      </c>
      <c r="E28">
        <f t="shared" si="0"/>
        <v>-516.36919964111746</v>
      </c>
      <c r="F28">
        <f t="shared" si="1"/>
        <v>-516.5</v>
      </c>
      <c r="I28" s="17">
        <v>0.35194185000000289</v>
      </c>
      <c r="O28">
        <f t="shared" si="2"/>
        <v>-7.4115567274873765E-3</v>
      </c>
      <c r="Q28" s="2">
        <f t="shared" si="3"/>
        <v>33849.885999999999</v>
      </c>
      <c r="R28">
        <f t="shared" si="5"/>
        <v>5.4931173124763392E-5</v>
      </c>
      <c r="S28">
        <f t="shared" si="6"/>
        <v>12060.011999999995</v>
      </c>
      <c r="T28">
        <f t="shared" si="7"/>
        <v>5.9819999999963329</v>
      </c>
    </row>
    <row r="29" spans="1:20">
      <c r="A29" t="s">
        <v>32</v>
      </c>
      <c r="C29" s="22">
        <v>48871.356</v>
      </c>
      <c r="D29">
        <v>4.0000000000000001E-3</v>
      </c>
      <c r="E29">
        <f t="shared" si="0"/>
        <v>-515.30122453594038</v>
      </c>
      <c r="F29">
        <f t="shared" si="1"/>
        <v>-515.5</v>
      </c>
      <c r="I29" s="17">
        <v>0.54097814999840921</v>
      </c>
      <c r="O29">
        <f t="shared" si="2"/>
        <v>-7.4124197948455131E-3</v>
      </c>
      <c r="Q29" s="2">
        <f t="shared" si="3"/>
        <v>33852.856</v>
      </c>
      <c r="R29">
        <f t="shared" si="5"/>
        <v>5.4943967215017597E-5</v>
      </c>
      <c r="S29">
        <f t="shared" si="6"/>
        <v>12062.981999999996</v>
      </c>
      <c r="T29">
        <f t="shared" si="7"/>
        <v>2.9700000000011642</v>
      </c>
    </row>
    <row r="30" spans="1:20">
      <c r="A30" t="s">
        <v>34</v>
      </c>
      <c r="C30" s="22">
        <v>49176.482000000004</v>
      </c>
      <c r="D30">
        <v>6.0000000000000001E-3</v>
      </c>
      <c r="E30">
        <f t="shared" si="0"/>
        <v>-405.58170536350252</v>
      </c>
      <c r="F30">
        <f t="shared" si="1"/>
        <v>-405.5</v>
      </c>
      <c r="I30" s="17">
        <v>-0.22721964999800548</v>
      </c>
      <c r="O30">
        <f t="shared" si="2"/>
        <v>-7.5073572042404658E-3</v>
      </c>
      <c r="Q30" s="2">
        <f t="shared" si="3"/>
        <v>34157.982000000004</v>
      </c>
      <c r="R30">
        <f t="shared" si="5"/>
        <v>5.636041219206122E-5</v>
      </c>
      <c r="S30">
        <f t="shared" si="6"/>
        <v>12368.108</v>
      </c>
      <c r="T30">
        <f t="shared" si="7"/>
        <v>305.12600000000384</v>
      </c>
    </row>
    <row r="31" spans="1:20">
      <c r="A31" t="s">
        <v>35</v>
      </c>
      <c r="C31" s="11">
        <v>49211.402000000002</v>
      </c>
      <c r="D31">
        <v>7.0000000000000001E-3</v>
      </c>
      <c r="E31">
        <f t="shared" si="0"/>
        <v>-393.02490715718352</v>
      </c>
      <c r="F31">
        <f t="shared" si="1"/>
        <v>-393</v>
      </c>
      <c r="G31">
        <f>+C31-(C$7+F31*C$8)</f>
        <v>-6.9265899997844826E-2</v>
      </c>
      <c r="I31">
        <f>+G31</f>
        <v>-6.9265899997844826E-2</v>
      </c>
      <c r="O31">
        <f t="shared" si="2"/>
        <v>-7.5181455462171648E-3</v>
      </c>
      <c r="Q31" s="2">
        <f t="shared" si="3"/>
        <v>34192.902000000002</v>
      </c>
      <c r="R31">
        <f t="shared" si="5"/>
        <v>3.8127851798185038E-3</v>
      </c>
      <c r="S31">
        <f t="shared" si="6"/>
        <v>12403.027999999998</v>
      </c>
      <c r="T31">
        <f t="shared" si="7"/>
        <v>34.919999999998254</v>
      </c>
    </row>
    <row r="32" spans="1:20">
      <c r="A32" t="s">
        <v>35</v>
      </c>
      <c r="C32" s="22">
        <v>49217.37</v>
      </c>
      <c r="D32">
        <v>5.0000000000000001E-3</v>
      </c>
      <c r="E32">
        <f t="shared" si="0"/>
        <v>-390.87888849465986</v>
      </c>
      <c r="F32">
        <f t="shared" si="1"/>
        <v>-391</v>
      </c>
      <c r="I32" s="17">
        <v>0.33680670000467217</v>
      </c>
      <c r="O32">
        <f t="shared" si="2"/>
        <v>-7.5198716809334373E-3</v>
      </c>
      <c r="Q32" s="2">
        <f t="shared" si="3"/>
        <v>34198.870000000003</v>
      </c>
      <c r="R32">
        <f t="shared" si="5"/>
        <v>5.6548470097704682E-5</v>
      </c>
      <c r="S32">
        <f t="shared" si="6"/>
        <v>12408.995999999999</v>
      </c>
      <c r="T32">
        <f t="shared" si="7"/>
        <v>5.9680000000007567</v>
      </c>
    </row>
    <row r="33" spans="1:20">
      <c r="A33" t="s">
        <v>35</v>
      </c>
      <c r="C33" s="22">
        <v>49249.381999999998</v>
      </c>
      <c r="D33">
        <v>5.0000000000000001E-3</v>
      </c>
      <c r="E33">
        <f t="shared" si="0"/>
        <v>-379.36777096371361</v>
      </c>
      <c r="F33">
        <f t="shared" si="1"/>
        <v>-379.5</v>
      </c>
      <c r="J33" s="17">
        <v>0.36772414999722969</v>
      </c>
      <c r="O33">
        <f t="shared" si="2"/>
        <v>-7.5297969555520004E-3</v>
      </c>
      <c r="Q33" s="2">
        <f t="shared" si="3"/>
        <v>34230.881999999998</v>
      </c>
      <c r="R33">
        <f t="shared" si="5"/>
        <v>5.6697842191840175E-5</v>
      </c>
      <c r="S33">
        <f t="shared" si="6"/>
        <v>12441.007999999994</v>
      </c>
      <c r="T33">
        <f t="shared" si="7"/>
        <v>32.011999999995169</v>
      </c>
    </row>
    <row r="34" spans="1:20">
      <c r="A34" t="s">
        <v>42</v>
      </c>
      <c r="B34" s="12"/>
      <c r="C34" s="12">
        <v>50304.393900000003</v>
      </c>
      <c r="D34" s="13"/>
      <c r="E34">
        <f t="shared" si="0"/>
        <v>1.4023915534536174E-3</v>
      </c>
      <c r="F34">
        <f t="shared" si="1"/>
        <v>0</v>
      </c>
      <c r="G34">
        <f t="shared" ref="G34:G50" si="8">+C34-(C$7+F34*C$8)</f>
        <v>3.9000000033411197E-3</v>
      </c>
      <c r="J34">
        <f t="shared" ref="J34:J50" si="9">+G34</f>
        <v>3.9000000033411197E-3</v>
      </c>
      <c r="O34">
        <f t="shared" si="2"/>
        <v>-7.8573310179645885E-3</v>
      </c>
      <c r="Q34" s="2">
        <f t="shared" si="3"/>
        <v>35285.893900000003</v>
      </c>
      <c r="R34">
        <f t="shared" si="5"/>
        <v>1.3823483274455752E-4</v>
      </c>
      <c r="S34">
        <f t="shared" si="6"/>
        <v>13496.019899999999</v>
      </c>
      <c r="T34">
        <f t="shared" si="7"/>
        <v>1055.011900000005</v>
      </c>
    </row>
    <row r="35" spans="1:20">
      <c r="A35" t="s">
        <v>42</v>
      </c>
      <c r="B35" s="12"/>
      <c r="C35" s="12">
        <v>50315.5124</v>
      </c>
      <c r="D35" s="13"/>
      <c r="E35">
        <f t="shared" si="0"/>
        <v>3.9994768719923233</v>
      </c>
      <c r="F35">
        <f t="shared" si="1"/>
        <v>4</v>
      </c>
      <c r="G35">
        <f t="shared" si="8"/>
        <v>-1.4547999962815084E-3</v>
      </c>
      <c r="J35">
        <f t="shared" si="9"/>
        <v>-1.4547999962815084E-3</v>
      </c>
      <c r="O35">
        <f t="shared" si="2"/>
        <v>-7.8607832873971318E-3</v>
      </c>
      <c r="Q35" s="2">
        <f t="shared" si="3"/>
        <v>35297.0124</v>
      </c>
      <c r="R35">
        <f t="shared" si="5"/>
        <v>4.1036621926052553E-5</v>
      </c>
      <c r="S35">
        <f t="shared" si="6"/>
        <v>13507.138399999996</v>
      </c>
      <c r="T35">
        <f t="shared" si="7"/>
        <v>11.118499999996857</v>
      </c>
    </row>
    <row r="36" spans="1:20">
      <c r="A36" t="s">
        <v>42</v>
      </c>
      <c r="B36" s="12"/>
      <c r="C36" s="12">
        <v>50361.394800000002</v>
      </c>
      <c r="D36" s="13"/>
      <c r="E36">
        <f t="shared" si="0"/>
        <v>20.498217937904919</v>
      </c>
      <c r="F36">
        <f t="shared" si="1"/>
        <v>20.5</v>
      </c>
      <c r="G36">
        <f t="shared" si="8"/>
        <v>-4.9558499958948232E-3</v>
      </c>
      <c r="J36">
        <f t="shared" si="9"/>
        <v>-4.9558499958948232E-3</v>
      </c>
      <c r="O36">
        <f t="shared" si="2"/>
        <v>-7.8750238988063749E-3</v>
      </c>
      <c r="Q36" s="2">
        <f t="shared" si="3"/>
        <v>35342.894800000002</v>
      </c>
      <c r="R36">
        <f t="shared" si="5"/>
        <v>8.521576275439862E-6</v>
      </c>
      <c r="S36">
        <f t="shared" si="6"/>
        <v>13553.020799999998</v>
      </c>
      <c r="T36">
        <f t="shared" si="7"/>
        <v>45.882400000002235</v>
      </c>
    </row>
    <row r="37" spans="1:20">
      <c r="A37" t="s">
        <v>42</v>
      </c>
      <c r="B37" s="12"/>
      <c r="C37" s="12">
        <v>50396.193700000003</v>
      </c>
      <c r="D37" s="13"/>
      <c r="E37">
        <f t="shared" si="0"/>
        <v>33.011470088589803</v>
      </c>
      <c r="F37">
        <f t="shared" si="1"/>
        <v>33</v>
      </c>
      <c r="G37">
        <f t="shared" si="8"/>
        <v>3.189790000760695E-2</v>
      </c>
      <c r="J37">
        <f t="shared" si="9"/>
        <v>3.189790000760695E-2</v>
      </c>
      <c r="O37">
        <f t="shared" si="2"/>
        <v>-7.8858122407830748E-3</v>
      </c>
      <c r="Q37" s="2">
        <f t="shared" si="3"/>
        <v>35377.693700000003</v>
      </c>
      <c r="R37">
        <f t="shared" si="5"/>
        <v>1.5827437602626982E-3</v>
      </c>
      <c r="S37">
        <f t="shared" si="6"/>
        <v>13587.8197</v>
      </c>
      <c r="T37">
        <f t="shared" si="7"/>
        <v>34.798900000001595</v>
      </c>
    </row>
    <row r="38" spans="1:20">
      <c r="A38" t="s">
        <v>42</v>
      </c>
      <c r="B38" s="12"/>
      <c r="C38" s="12">
        <v>50582.4853</v>
      </c>
      <c r="D38" s="13"/>
      <c r="E38">
        <f t="shared" si="0"/>
        <v>99.999615241292389</v>
      </c>
      <c r="F38">
        <f t="shared" si="1"/>
        <v>100</v>
      </c>
      <c r="G38">
        <f t="shared" si="8"/>
        <v>-1.0699999984353781E-3</v>
      </c>
      <c r="J38">
        <f t="shared" si="9"/>
        <v>-1.0699999984353781E-3</v>
      </c>
      <c r="O38">
        <f t="shared" si="2"/>
        <v>-7.9436377537781822E-3</v>
      </c>
      <c r="Q38" s="2">
        <f t="shared" si="3"/>
        <v>35563.9853</v>
      </c>
      <c r="R38">
        <f t="shared" si="5"/>
        <v>4.7246895991674065E-5</v>
      </c>
      <c r="S38">
        <f t="shared" si="6"/>
        <v>13774.111299999997</v>
      </c>
      <c r="T38">
        <f t="shared" si="7"/>
        <v>186.29159999999683</v>
      </c>
    </row>
    <row r="39" spans="1:20">
      <c r="A39" t="s">
        <v>42</v>
      </c>
      <c r="B39" s="12"/>
      <c r="C39" s="12">
        <v>50671.478000000003</v>
      </c>
      <c r="D39" s="13"/>
      <c r="E39">
        <f t="shared" si="0"/>
        <v>132.00028464952757</v>
      </c>
      <c r="F39">
        <f t="shared" si="1"/>
        <v>132</v>
      </c>
      <c r="G39">
        <f t="shared" si="8"/>
        <v>7.9160000314004719E-4</v>
      </c>
      <c r="J39">
        <f t="shared" si="9"/>
        <v>7.9160000314004719E-4</v>
      </c>
      <c r="O39">
        <f t="shared" si="2"/>
        <v>-7.9712559092385317E-3</v>
      </c>
      <c r="Q39" s="2">
        <f t="shared" si="3"/>
        <v>35652.978000000003</v>
      </c>
      <c r="R39">
        <f t="shared" si="5"/>
        <v>7.6787643741108212E-5</v>
      </c>
      <c r="S39">
        <f t="shared" si="6"/>
        <v>13863.103999999999</v>
      </c>
      <c r="T39">
        <f t="shared" si="7"/>
        <v>88.992700000002515</v>
      </c>
    </row>
    <row r="40" spans="1:20">
      <c r="A40" t="s">
        <v>42</v>
      </c>
      <c r="B40" s="12"/>
      <c r="C40" s="12">
        <v>50696.503799999999</v>
      </c>
      <c r="D40" s="13"/>
      <c r="E40">
        <f t="shared" si="0"/>
        <v>140.99925144653963</v>
      </c>
      <c r="F40">
        <f t="shared" si="1"/>
        <v>141</v>
      </c>
      <c r="G40">
        <f t="shared" si="8"/>
        <v>-2.0817000040551648E-3</v>
      </c>
      <c r="J40">
        <f t="shared" si="9"/>
        <v>-2.0817000040551648E-3</v>
      </c>
      <c r="O40">
        <f t="shared" si="2"/>
        <v>-7.9790235154617549E-3</v>
      </c>
      <c r="Q40" s="2">
        <f t="shared" si="3"/>
        <v>35678.003799999999</v>
      </c>
      <c r="R40">
        <f t="shared" si="5"/>
        <v>3.4778424598188956E-5</v>
      </c>
      <c r="S40">
        <f t="shared" si="6"/>
        <v>13888.129799999995</v>
      </c>
      <c r="T40">
        <f t="shared" si="7"/>
        <v>25.025799999995797</v>
      </c>
    </row>
    <row r="41" spans="1:20">
      <c r="A41" t="s">
        <v>42</v>
      </c>
      <c r="B41" s="12"/>
      <c r="C41" s="12">
        <v>50717.366099999999</v>
      </c>
      <c r="D41" s="13"/>
      <c r="E41">
        <f t="shared" si="0"/>
        <v>148.50107536462986</v>
      </c>
      <c r="F41">
        <f t="shared" si="1"/>
        <v>148.5</v>
      </c>
      <c r="G41">
        <f t="shared" si="8"/>
        <v>2.9905499977758154E-3</v>
      </c>
      <c r="J41">
        <f t="shared" si="9"/>
        <v>2.9905499977758154E-3</v>
      </c>
      <c r="O41">
        <f t="shared" si="2"/>
        <v>-7.9854965206477748E-3</v>
      </c>
      <c r="Q41" s="2">
        <f t="shared" si="3"/>
        <v>35698.866099999999</v>
      </c>
      <c r="R41">
        <f t="shared" si="5"/>
        <v>1.2047359717459861E-4</v>
      </c>
      <c r="S41">
        <f t="shared" si="6"/>
        <v>13908.992099999996</v>
      </c>
      <c r="T41">
        <f t="shared" si="7"/>
        <v>20.862300000000687</v>
      </c>
    </row>
    <row r="42" spans="1:20">
      <c r="A42" t="s">
        <v>42</v>
      </c>
      <c r="B42" s="12"/>
      <c r="C42" s="12">
        <v>50749.345500000003</v>
      </c>
      <c r="D42" s="13"/>
      <c r="E42">
        <f t="shared" si="0"/>
        <v>160.00047034055268</v>
      </c>
      <c r="F42">
        <f t="shared" si="1"/>
        <v>160</v>
      </c>
      <c r="G42">
        <f t="shared" si="8"/>
        <v>1.3080000062473118E-3</v>
      </c>
      <c r="J42">
        <f t="shared" si="9"/>
        <v>1.3080000062473118E-3</v>
      </c>
      <c r="O42">
        <f t="shared" si="2"/>
        <v>-7.995421795266338E-3</v>
      </c>
      <c r="Q42" s="2">
        <f t="shared" si="3"/>
        <v>35730.845500000003</v>
      </c>
      <c r="R42">
        <f t="shared" si="5"/>
        <v>8.6553657216879479E-5</v>
      </c>
      <c r="S42">
        <f t="shared" si="6"/>
        <v>13940.9715</v>
      </c>
      <c r="T42">
        <f t="shared" si="7"/>
        <v>31.979400000003807</v>
      </c>
    </row>
    <row r="43" spans="1:20">
      <c r="A43" t="s">
        <v>42</v>
      </c>
      <c r="B43" s="12"/>
      <c r="C43" s="12">
        <v>51045.515700000004</v>
      </c>
      <c r="D43" s="13"/>
      <c r="E43">
        <f t="shared" si="0"/>
        <v>266.49959508640984</v>
      </c>
      <c r="F43">
        <f t="shared" si="1"/>
        <v>266.5</v>
      </c>
      <c r="G43">
        <f t="shared" si="8"/>
        <v>-1.1260499959462322E-3</v>
      </c>
      <c r="J43">
        <f t="shared" si="9"/>
        <v>-1.1260499959462322E-3</v>
      </c>
      <c r="O43">
        <f t="shared" si="2"/>
        <v>-8.0873384689078166E-3</v>
      </c>
      <c r="Q43" s="2">
        <f t="shared" si="3"/>
        <v>36027.015700000004</v>
      </c>
      <c r="R43">
        <f t="shared" si="5"/>
        <v>4.8459537203787827E-5</v>
      </c>
      <c r="S43">
        <f t="shared" si="6"/>
        <v>14237.1417</v>
      </c>
      <c r="T43">
        <f t="shared" si="7"/>
        <v>296.17020000000048</v>
      </c>
    </row>
    <row r="44" spans="1:20">
      <c r="A44" t="s">
        <v>42</v>
      </c>
      <c r="B44" s="12"/>
      <c r="C44" s="12">
        <v>51045.518700000001</v>
      </c>
      <c r="D44" s="13"/>
      <c r="E44">
        <f t="shared" si="0"/>
        <v>266.50067384914126</v>
      </c>
      <c r="F44">
        <f t="shared" si="1"/>
        <v>266.5</v>
      </c>
      <c r="G44">
        <f t="shared" si="8"/>
        <v>1.8739500010269694E-3</v>
      </c>
      <c r="J44">
        <f t="shared" si="9"/>
        <v>1.8739500010269694E-3</v>
      </c>
      <c r="O44">
        <f t="shared" si="2"/>
        <v>-8.0873384689078166E-3</v>
      </c>
      <c r="Q44" s="2">
        <f t="shared" si="3"/>
        <v>36027.018700000001</v>
      </c>
      <c r="R44">
        <f t="shared" si="5"/>
        <v>9.9227267981255707E-5</v>
      </c>
      <c r="S44">
        <f t="shared" si="6"/>
        <v>14237.144699999997</v>
      </c>
      <c r="T44">
        <f t="shared" si="7"/>
        <v>2.9999999969732016E-3</v>
      </c>
    </row>
    <row r="45" spans="1:20">
      <c r="A45" t="s">
        <v>42</v>
      </c>
      <c r="B45" s="12"/>
      <c r="C45" s="12">
        <v>51376.453999999998</v>
      </c>
      <c r="D45" s="13"/>
      <c r="E45">
        <f t="shared" si="0"/>
        <v>385.50089668556211</v>
      </c>
      <c r="F45">
        <f t="shared" si="1"/>
        <v>385.5</v>
      </c>
      <c r="G45">
        <f t="shared" si="8"/>
        <v>2.4936499976320192E-3</v>
      </c>
      <c r="J45">
        <f t="shared" si="9"/>
        <v>2.4936499976320192E-3</v>
      </c>
      <c r="O45">
        <f t="shared" si="2"/>
        <v>-8.1900434845259933E-3</v>
      </c>
      <c r="Q45" s="2">
        <f t="shared" si="3"/>
        <v>36357.953999999998</v>
      </c>
      <c r="R45">
        <f t="shared" si="5"/>
        <v>1.141413064207056E-4</v>
      </c>
      <c r="S45">
        <f t="shared" si="6"/>
        <v>14568.079999999994</v>
      </c>
      <c r="T45">
        <f t="shared" si="7"/>
        <v>330.93529999999737</v>
      </c>
    </row>
    <row r="46" spans="1:20">
      <c r="A46" t="s">
        <v>42</v>
      </c>
      <c r="B46" s="12"/>
      <c r="C46" s="12">
        <v>51426.506099999999</v>
      </c>
      <c r="D46" s="13"/>
      <c r="E46">
        <f t="shared" si="0"/>
        <v>403.49901007337826</v>
      </c>
      <c r="F46">
        <f t="shared" si="1"/>
        <v>403.5</v>
      </c>
      <c r="G46">
        <f t="shared" si="8"/>
        <v>-2.7529500002856366E-3</v>
      </c>
      <c r="J46">
        <f t="shared" si="9"/>
        <v>-2.7529500002856366E-3</v>
      </c>
      <c r="O46">
        <f t="shared" si="2"/>
        <v>-8.2055786969724397E-3</v>
      </c>
      <c r="Q46" s="2">
        <f t="shared" si="3"/>
        <v>36408.006099999999</v>
      </c>
      <c r="R46">
        <f t="shared" si="5"/>
        <v>2.9731159703932425E-5</v>
      </c>
      <c r="S46">
        <f t="shared" si="6"/>
        <v>14618.132099999995</v>
      </c>
      <c r="T46">
        <f t="shared" si="7"/>
        <v>50.052100000000792</v>
      </c>
    </row>
    <row r="47" spans="1:20">
      <c r="A47" t="s">
        <v>42</v>
      </c>
      <c r="B47" s="12"/>
      <c r="C47" s="12">
        <v>51433.461000000003</v>
      </c>
      <c r="D47" s="13"/>
      <c r="E47">
        <f t="shared" si="0"/>
        <v>405.99990571613847</v>
      </c>
      <c r="F47">
        <f t="shared" si="1"/>
        <v>406</v>
      </c>
      <c r="G47">
        <f t="shared" si="8"/>
        <v>-2.6219999563181773E-4</v>
      </c>
      <c r="J47">
        <f t="shared" si="9"/>
        <v>-2.6219999563181773E-4</v>
      </c>
      <c r="O47">
        <f t="shared" si="2"/>
        <v>-8.2077363653677796E-3</v>
      </c>
      <c r="Q47" s="2">
        <f t="shared" si="3"/>
        <v>36414.961000000003</v>
      </c>
      <c r="R47">
        <f t="shared" si="5"/>
        <v>6.3131548202796935E-5</v>
      </c>
      <c r="S47">
        <f t="shared" si="6"/>
        <v>14625.087</v>
      </c>
      <c r="T47">
        <f t="shared" si="7"/>
        <v>6.9549000000042724</v>
      </c>
    </row>
    <row r="48" spans="1:20">
      <c r="A48" s="25" t="s">
        <v>56</v>
      </c>
      <c r="B48" s="6" t="s">
        <v>57</v>
      </c>
      <c r="C48" s="26">
        <v>52694.623299999999</v>
      </c>
      <c r="D48" s="27">
        <v>5.9999999999999995E-4</v>
      </c>
      <c r="E48">
        <f t="shared" si="0"/>
        <v>859.4982020081743</v>
      </c>
      <c r="F48">
        <f t="shared" si="1"/>
        <v>859.5</v>
      </c>
      <c r="G48">
        <f t="shared" si="8"/>
        <v>-5.0001499985228293E-3</v>
      </c>
      <c r="J48">
        <f t="shared" si="9"/>
        <v>-5.0001499985228293E-3</v>
      </c>
      <c r="O48">
        <f t="shared" si="2"/>
        <v>-8.5991374122824267E-3</v>
      </c>
      <c r="Q48" s="2">
        <f t="shared" si="3"/>
        <v>37676.123299999999</v>
      </c>
    </row>
    <row r="49" spans="1:20">
      <c r="A49" s="25" t="s">
        <v>56</v>
      </c>
      <c r="B49" s="28"/>
      <c r="C49" s="26">
        <v>52804.476000000002</v>
      </c>
      <c r="D49" s="27">
        <v>1E-4</v>
      </c>
      <c r="E49">
        <f t="shared" si="0"/>
        <v>898.99986828307146</v>
      </c>
      <c r="F49">
        <f t="shared" si="1"/>
        <v>899</v>
      </c>
      <c r="G49">
        <f t="shared" si="8"/>
        <v>-3.6629999522119761E-4</v>
      </c>
      <c r="J49">
        <f t="shared" si="9"/>
        <v>-3.6629999522119761E-4</v>
      </c>
      <c r="O49">
        <f t="shared" si="2"/>
        <v>-8.6332285729287962E-3</v>
      </c>
      <c r="Q49" s="2">
        <f t="shared" si="3"/>
        <v>37785.976000000002</v>
      </c>
    </row>
    <row r="50" spans="1:20">
      <c r="A50" s="15" t="s">
        <v>47</v>
      </c>
      <c r="B50" s="6" t="s">
        <v>48</v>
      </c>
      <c r="C50" s="12">
        <v>52907.370999999999</v>
      </c>
      <c r="D50" s="16">
        <v>4.0000000000000001E-3</v>
      </c>
      <c r="E50">
        <f t="shared" si="0"/>
        <v>935.99963206999064</v>
      </c>
      <c r="F50">
        <f t="shared" si="1"/>
        <v>936</v>
      </c>
      <c r="G50">
        <f t="shared" si="8"/>
        <v>-1.0231999985990115E-3</v>
      </c>
      <c r="J50">
        <f t="shared" si="9"/>
        <v>-1.0231999985990115E-3</v>
      </c>
      <c r="O50">
        <f t="shared" si="2"/>
        <v>-8.6651620651798256E-3</v>
      </c>
      <c r="Q50" s="2">
        <f t="shared" si="3"/>
        <v>37888.870999999999</v>
      </c>
      <c r="R50">
        <f>(G50-O50)^2</f>
        <v>5.8399584227060109E-5</v>
      </c>
      <c r="S50">
        <f>+C50-C$22</f>
        <v>16098.996999999996</v>
      </c>
      <c r="T50">
        <f>C50-C49</f>
        <v>102.8949999999968</v>
      </c>
    </row>
  </sheetData>
  <sheetProtection sheet="1" objects="1" scenarios="1"/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T1583"/>
  <sheetViews>
    <sheetView topLeftCell="A13" workbookViewId="0">
      <selection activeCell="I32" sqref="I32"/>
    </sheetView>
  </sheetViews>
  <sheetFormatPr defaultColWidth="10.28515625" defaultRowHeight="12.75"/>
  <cols>
    <col min="1" max="1" width="14.42578125" customWidth="1"/>
    <col min="2" max="2" width="12.42578125" customWidth="1"/>
    <col min="3" max="3" width="11.85546875" customWidth="1"/>
    <col min="4" max="4" width="9.42578125" customWidth="1"/>
    <col min="5" max="6" width="9.140625" customWidth="1"/>
    <col min="7" max="7" width="8.140625" style="13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64</v>
      </c>
      <c r="C1" s="14"/>
    </row>
    <row r="2" spans="1:4">
      <c r="A2" t="s">
        <v>26</v>
      </c>
      <c r="B2" s="24" t="s">
        <v>59</v>
      </c>
      <c r="C2" s="30" t="s">
        <v>60</v>
      </c>
    </row>
    <row r="3" spans="1:4" ht="13.5" thickBot="1"/>
    <row r="4" spans="1:4" ht="14.25" thickTop="1" thickBot="1">
      <c r="A4" s="8" t="s">
        <v>0</v>
      </c>
      <c r="C4" s="18">
        <v>37189.377</v>
      </c>
      <c r="D4" s="19">
        <v>0.74412</v>
      </c>
    </row>
    <row r="5" spans="1:4" ht="13.5" thickTop="1"/>
    <row r="6" spans="1:4">
      <c r="A6" s="8" t="s">
        <v>1</v>
      </c>
    </row>
    <row r="7" spans="1:4">
      <c r="A7" t="s">
        <v>2</v>
      </c>
      <c r="C7">
        <v>50304.39</v>
      </c>
      <c r="D7" s="17" t="s">
        <v>50</v>
      </c>
    </row>
    <row r="8" spans="1:4">
      <c r="A8" t="s">
        <v>3</v>
      </c>
      <c r="C8">
        <v>2.7806600000000001</v>
      </c>
      <c r="D8" s="20">
        <v>5204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INTERCEPT(G22:G992,F22:F992)</f>
        <v>-7.255930548062714E-3</v>
      </c>
      <c r="D11" s="6"/>
    </row>
    <row r="12" spans="1:4">
      <c r="A12" t="s">
        <v>17</v>
      </c>
      <c r="C12">
        <f>SLOPE(G22:G992,F22:F992)</f>
        <v>3.0471991893714622E-4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3" t="s">
        <v>18</v>
      </c>
      <c r="C15" s="20">
        <f>(C7+C11)+(C8+C12)*INT(MAX(F21:F3533))</f>
        <v>54801.20269617837</v>
      </c>
    </row>
    <row r="16" spans="1:4">
      <c r="A16" s="8" t="s">
        <v>4</v>
      </c>
      <c r="C16" s="31">
        <f>+C8+C12</f>
        <v>2.7809647199189373</v>
      </c>
    </row>
    <row r="17" spans="1:20" ht="13.5" thickBot="1">
      <c r="A17" s="32" t="s">
        <v>62</v>
      </c>
      <c r="C17">
        <f>COUNT(C21:C2191)</f>
        <v>31</v>
      </c>
    </row>
    <row r="18" spans="1:20" ht="14.25" thickTop="1" thickBot="1">
      <c r="A18" s="8" t="s">
        <v>5</v>
      </c>
      <c r="C18" s="4">
        <f>+C15</f>
        <v>54801.20269617837</v>
      </c>
      <c r="D18" s="5">
        <f>+C16</f>
        <v>2.7809647199189373</v>
      </c>
    </row>
    <row r="19" spans="1:20" ht="13.5" thickTop="1">
      <c r="C19" s="23"/>
    </row>
    <row r="20" spans="1:2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29" t="s">
        <v>11</v>
      </c>
      <c r="H20" s="10" t="s">
        <v>12</v>
      </c>
      <c r="I20" s="10" t="s">
        <v>44</v>
      </c>
      <c r="J20" s="10" t="s">
        <v>43</v>
      </c>
      <c r="K20" s="10" t="s">
        <v>66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20" s="33" customFormat="1">
      <c r="A21" s="33" t="s">
        <v>42</v>
      </c>
      <c r="B21" s="34"/>
      <c r="C21" s="35">
        <v>33894.44</v>
      </c>
      <c r="D21" s="35"/>
      <c r="E21" s="36">
        <f t="shared" ref="E21:E49" si="0">+(C21-C$7)/C$8</f>
        <v>-5901.4586465083812</v>
      </c>
      <c r="F21" s="36">
        <f t="shared" ref="F21:F51" si="1">ROUND(2*E21,0)/2</f>
        <v>-5901.5</v>
      </c>
      <c r="G21" s="35"/>
      <c r="H21" s="36"/>
      <c r="I21" s="36">
        <v>0.11499000000185333</v>
      </c>
      <c r="J21" s="36"/>
      <c r="K21" s="36"/>
      <c r="O21" s="33">
        <f>+C$11+C$12*F21</f>
        <v>-1.8055605321556309</v>
      </c>
      <c r="Q21" s="37">
        <f t="shared" ref="Q21:Q49" si="2">+C21-15018.5</f>
        <v>18875.940000000002</v>
      </c>
      <c r="R21" s="33">
        <f>(G21-O21)^2</f>
        <v>3.2600488352781252</v>
      </c>
    </row>
    <row r="22" spans="1:20" s="33" customFormat="1">
      <c r="A22" s="33" t="s">
        <v>42</v>
      </c>
      <c r="B22" s="34"/>
      <c r="C22" s="35">
        <v>36808.374000000003</v>
      </c>
      <c r="D22" s="35"/>
      <c r="E22" s="36">
        <f t="shared" si="0"/>
        <v>-4853.5297375443224</v>
      </c>
      <c r="F22" s="36">
        <f>ROUND(2*E22,0)/2+0.5</f>
        <v>-4853</v>
      </c>
      <c r="G22" s="35">
        <f>+C22-(C$7+F22*C$8)</f>
        <v>-1.4730199999976321</v>
      </c>
      <c r="H22" s="36"/>
      <c r="I22" s="36">
        <f>+G22</f>
        <v>-1.4730199999976321</v>
      </c>
      <c r="J22" s="36"/>
      <c r="K22" s="36"/>
      <c r="O22" s="33">
        <f>+C$11+C$12*F22</f>
        <v>-1.4860616971500331</v>
      </c>
      <c r="Q22" s="37">
        <f t="shared" si="2"/>
        <v>21789.874000000003</v>
      </c>
      <c r="R22" s="33">
        <f>(G22-O22)^2</f>
        <v>1.7008586461494433E-4</v>
      </c>
      <c r="S22" s="33">
        <f>+C22-C$22</f>
        <v>0</v>
      </c>
      <c r="T22" s="33">
        <f>C22-C21</f>
        <v>2913.9340000000011</v>
      </c>
    </row>
    <row r="23" spans="1:20" s="33" customFormat="1">
      <c r="A23" s="33" t="s">
        <v>58</v>
      </c>
      <c r="B23" s="34"/>
      <c r="C23" s="35">
        <v>37189.377</v>
      </c>
      <c r="D23" s="35" t="s">
        <v>14</v>
      </c>
      <c r="E23" s="36">
        <f t="shared" si="0"/>
        <v>-4716.5108283644886</v>
      </c>
      <c r="F23" s="36">
        <f>ROUND(2*E23,0)/2+0.5</f>
        <v>-4716</v>
      </c>
      <c r="G23" s="35">
        <f t="shared" ref="G23:G33" si="3">+C23-(C$7+F23*C$8)</f>
        <v>-1.4204399999944144</v>
      </c>
      <c r="H23" s="36"/>
      <c r="I23" s="36">
        <f>+G23</f>
        <v>-1.4204399999944144</v>
      </c>
      <c r="J23" s="36"/>
      <c r="K23" s="36"/>
      <c r="O23" s="33">
        <f>+C$11+C$12*F23</f>
        <v>-1.4443150682556443</v>
      </c>
      <c r="Q23" s="37">
        <f t="shared" si="2"/>
        <v>22170.877</v>
      </c>
      <c r="R23" s="33">
        <f t="shared" ref="R23:R46" si="4">(G23-O23)^2</f>
        <v>5.7001888447838587E-4</v>
      </c>
      <c r="S23" s="33">
        <f t="shared" ref="S23:S46" si="5">+C23-C$22</f>
        <v>381.00299999999697</v>
      </c>
      <c r="T23" s="33" t="e">
        <f>C23-#REF!</f>
        <v>#REF!</v>
      </c>
    </row>
    <row r="24" spans="1:20" s="33" customFormat="1">
      <c r="A24" s="33" t="s">
        <v>42</v>
      </c>
      <c r="B24" s="34"/>
      <c r="C24" s="35">
        <v>45646.239999999998</v>
      </c>
      <c r="D24" s="35"/>
      <c r="E24" s="36">
        <f t="shared" si="0"/>
        <v>-1675.1958168204676</v>
      </c>
      <c r="F24" s="36">
        <f t="shared" si="1"/>
        <v>-1675</v>
      </c>
      <c r="G24" s="35">
        <f t="shared" si="3"/>
        <v>-0.54450000000360887</v>
      </c>
      <c r="H24" s="36"/>
      <c r="I24" s="36"/>
      <c r="J24" s="36">
        <f>+G24</f>
        <v>-0.54450000000360887</v>
      </c>
      <c r="K24" s="36"/>
      <c r="O24" s="33">
        <f t="shared" ref="O24:O49" si="6">+C$11+C$12*F24</f>
        <v>-0.51766179476778262</v>
      </c>
      <c r="Q24" s="37">
        <f t="shared" si="2"/>
        <v>30627.739999999998</v>
      </c>
      <c r="R24" s="33">
        <f t="shared" si="4"/>
        <v>7.2028926028033162E-4</v>
      </c>
      <c r="S24" s="33">
        <f t="shared" si="5"/>
        <v>8837.8659999999945</v>
      </c>
      <c r="T24" s="33">
        <f t="shared" ref="T24:T46" si="7">C24-C23</f>
        <v>8456.8629999999976</v>
      </c>
    </row>
    <row r="25" spans="1:20" s="33" customFormat="1">
      <c r="A25" s="33" t="s">
        <v>32</v>
      </c>
      <c r="C25" s="35">
        <v>48830.413</v>
      </c>
      <c r="D25" s="35">
        <v>5.0000000000000001E-3</v>
      </c>
      <c r="E25" s="36">
        <f t="shared" si="0"/>
        <v>-530.08170722058753</v>
      </c>
      <c r="F25" s="36">
        <f t="shared" si="1"/>
        <v>-530</v>
      </c>
      <c r="G25" s="35">
        <f t="shared" si="3"/>
        <v>-0.22720000000117579</v>
      </c>
      <c r="H25" s="36"/>
      <c r="I25" s="36">
        <f>+G25</f>
        <v>-0.22720000000117579</v>
      </c>
      <c r="J25" s="36"/>
      <c r="K25" s="36"/>
      <c r="O25" s="33">
        <f t="shared" si="6"/>
        <v>-0.16875748758475023</v>
      </c>
      <c r="Q25" s="37">
        <f t="shared" si="2"/>
        <v>33811.913</v>
      </c>
      <c r="R25" s="33">
        <f t="shared" si="4"/>
        <v>3.4155272575440562E-3</v>
      </c>
      <c r="S25" s="33">
        <f t="shared" si="5"/>
        <v>12022.038999999997</v>
      </c>
      <c r="T25" s="33">
        <f t="shared" si="7"/>
        <v>3184.1730000000025</v>
      </c>
    </row>
    <row r="26" spans="1:20" s="33" customFormat="1">
      <c r="A26" s="33" t="s">
        <v>32</v>
      </c>
      <c r="C26" s="35">
        <v>48862.404000000002</v>
      </c>
      <c r="D26" s="35">
        <v>5.0000000000000001E-3</v>
      </c>
      <c r="E26" s="36">
        <f t="shared" si="0"/>
        <v>-518.57688462451256</v>
      </c>
      <c r="F26" s="36">
        <f t="shared" si="1"/>
        <v>-518.5</v>
      </c>
      <c r="G26" s="35">
        <f t="shared" si="3"/>
        <v>-0.2137899999943329</v>
      </c>
      <c r="H26" s="36"/>
      <c r="I26" s="36">
        <f>+G26</f>
        <v>-0.2137899999943329</v>
      </c>
      <c r="J26" s="36"/>
      <c r="K26" s="36"/>
      <c r="O26" s="33">
        <f t="shared" si="6"/>
        <v>-0.165253208516973</v>
      </c>
      <c r="Q26" s="37">
        <f t="shared" si="2"/>
        <v>33843.904000000002</v>
      </c>
      <c r="R26" s="33">
        <f t="shared" si="4"/>
        <v>2.3558201269167165E-3</v>
      </c>
      <c r="S26" s="33">
        <f t="shared" si="5"/>
        <v>12054.029999999999</v>
      </c>
      <c r="T26" s="33">
        <f t="shared" si="7"/>
        <v>31.991000000001804</v>
      </c>
    </row>
    <row r="27" spans="1:20" s="33" customFormat="1">
      <c r="A27" s="33" t="s">
        <v>32</v>
      </c>
      <c r="C27" s="35">
        <v>48868.385999999999</v>
      </c>
      <c r="D27" s="35">
        <v>4.0000000000000001E-3</v>
      </c>
      <c r="E27" s="36">
        <f t="shared" si="0"/>
        <v>-516.42559680075976</v>
      </c>
      <c r="F27" s="36">
        <f t="shared" si="1"/>
        <v>-516.5</v>
      </c>
      <c r="G27" s="35"/>
      <c r="H27" s="36"/>
      <c r="I27" s="36">
        <v>0.20689000000129454</v>
      </c>
      <c r="J27" s="36"/>
      <c r="K27" s="36"/>
      <c r="O27" s="33">
        <f t="shared" si="6"/>
        <v>-0.16464376867909875</v>
      </c>
      <c r="Q27" s="37">
        <f t="shared" si="2"/>
        <v>33849.885999999999</v>
      </c>
      <c r="R27" s="33">
        <f t="shared" si="4"/>
        <v>2.7107570564856576E-2</v>
      </c>
      <c r="S27" s="33">
        <f t="shared" si="5"/>
        <v>12060.011999999995</v>
      </c>
      <c r="T27" s="33">
        <f t="shared" si="7"/>
        <v>5.9819999999963329</v>
      </c>
    </row>
    <row r="28" spans="1:20" s="33" customFormat="1">
      <c r="A28" s="33" t="s">
        <v>32</v>
      </c>
      <c r="C28" s="35">
        <v>48871.356</v>
      </c>
      <c r="D28" s="35">
        <v>4.0000000000000001E-3</v>
      </c>
      <c r="E28" s="36">
        <f t="shared" si="0"/>
        <v>-515.35750505275712</v>
      </c>
      <c r="F28" s="36">
        <f t="shared" si="1"/>
        <v>-515.5</v>
      </c>
      <c r="G28" s="35"/>
      <c r="H28" s="36"/>
      <c r="I28" s="36">
        <v>0.39622999999846797</v>
      </c>
      <c r="J28" s="36"/>
      <c r="K28" s="36"/>
      <c r="O28" s="33">
        <f t="shared" si="6"/>
        <v>-0.16433904876016159</v>
      </c>
      <c r="Q28" s="37">
        <f t="shared" si="2"/>
        <v>33852.856</v>
      </c>
      <c r="R28" s="33">
        <f t="shared" si="4"/>
        <v>2.7007322947394767E-2</v>
      </c>
      <c r="S28" s="33">
        <f t="shared" si="5"/>
        <v>12062.981999999996</v>
      </c>
      <c r="T28" s="33">
        <f t="shared" si="7"/>
        <v>2.9700000000011642</v>
      </c>
    </row>
    <row r="29" spans="1:20" s="33" customFormat="1">
      <c r="A29" s="33" t="s">
        <v>34</v>
      </c>
      <c r="C29" s="35">
        <v>49176.482000000004</v>
      </c>
      <c r="D29" s="35">
        <v>6.0000000000000001E-3</v>
      </c>
      <c r="E29" s="36">
        <f t="shared" si="0"/>
        <v>-405.62600245984612</v>
      </c>
      <c r="F29" s="36">
        <f t="shared" si="1"/>
        <v>-405.5</v>
      </c>
      <c r="G29" s="35"/>
      <c r="H29" s="36"/>
      <c r="I29" s="36">
        <v>-0.3503699999928358</v>
      </c>
      <c r="J29" s="36"/>
      <c r="K29" s="36"/>
      <c r="O29" s="33">
        <f t="shared" si="6"/>
        <v>-0.13081985767707549</v>
      </c>
      <c r="Q29" s="37">
        <f t="shared" si="2"/>
        <v>34157.982000000004</v>
      </c>
      <c r="R29" s="33">
        <f t="shared" si="4"/>
        <v>1.7113835162650286E-2</v>
      </c>
      <c r="S29" s="33">
        <f t="shared" si="5"/>
        <v>12368.108</v>
      </c>
      <c r="T29" s="33">
        <f t="shared" si="7"/>
        <v>305.12600000000384</v>
      </c>
    </row>
    <row r="30" spans="1:20" s="33" customFormat="1">
      <c r="A30" s="33" t="s">
        <v>35</v>
      </c>
      <c r="C30" s="35">
        <v>49211.402000000002</v>
      </c>
      <c r="D30" s="35">
        <v>7.0000000000000001E-3</v>
      </c>
      <c r="E30" s="36">
        <f t="shared" si="0"/>
        <v>-393.0678328166685</v>
      </c>
      <c r="F30" s="36">
        <f t="shared" si="1"/>
        <v>-393</v>
      </c>
      <c r="G30" s="35">
        <f t="shared" si="3"/>
        <v>-0.18862000000081025</v>
      </c>
      <c r="H30" s="36"/>
      <c r="I30" s="36">
        <f>+G30</f>
        <v>-0.18862000000081025</v>
      </c>
      <c r="J30" s="36"/>
      <c r="K30" s="36"/>
      <c r="O30" s="33">
        <f t="shared" si="6"/>
        <v>-0.12701085869036116</v>
      </c>
      <c r="Q30" s="37">
        <f t="shared" si="2"/>
        <v>34192.902000000002</v>
      </c>
      <c r="R30" s="33">
        <f t="shared" si="4"/>
        <v>3.7956862930108846E-3</v>
      </c>
      <c r="S30" s="33">
        <f t="shared" si="5"/>
        <v>12403.027999999998</v>
      </c>
      <c r="T30" s="33">
        <f t="shared" si="7"/>
        <v>34.919999999998254</v>
      </c>
    </row>
    <row r="31" spans="1:20" s="33" customFormat="1">
      <c r="A31" s="33" t="s">
        <v>35</v>
      </c>
      <c r="C31" s="35">
        <v>49217.37</v>
      </c>
      <c r="D31" s="35">
        <v>5.0000000000000001E-3</v>
      </c>
      <c r="E31" s="36">
        <f t="shared" si="0"/>
        <v>-390.92157976883067</v>
      </c>
      <c r="F31" s="36">
        <f t="shared" si="1"/>
        <v>-391</v>
      </c>
      <c r="G31" s="35"/>
      <c r="H31" s="36"/>
      <c r="I31" s="36"/>
      <c r="J31" s="36">
        <v>0.21806000000651693</v>
      </c>
      <c r="K31" s="36"/>
      <c r="O31" s="33">
        <f t="shared" si="6"/>
        <v>-0.1264014188524869</v>
      </c>
      <c r="Q31" s="37">
        <f t="shared" si="2"/>
        <v>34198.870000000003</v>
      </c>
      <c r="R31" s="33">
        <f t="shared" si="4"/>
        <v>1.5977318687921831E-2</v>
      </c>
      <c r="S31" s="33">
        <f t="shared" si="5"/>
        <v>12408.995999999999</v>
      </c>
      <c r="T31" s="33">
        <f t="shared" si="7"/>
        <v>5.9680000000007567</v>
      </c>
    </row>
    <row r="32" spans="1:20" s="33" customFormat="1">
      <c r="A32" s="33" t="s">
        <v>35</v>
      </c>
      <c r="C32" s="35">
        <v>49249.381999999998</v>
      </c>
      <c r="D32" s="35">
        <v>5.0000000000000001E-3</v>
      </c>
      <c r="E32" s="36">
        <f t="shared" si="0"/>
        <v>-379.40920500888336</v>
      </c>
      <c r="F32" s="36">
        <f t="shared" si="1"/>
        <v>-379.5</v>
      </c>
      <c r="G32" s="35"/>
      <c r="H32" s="36"/>
      <c r="I32" s="36"/>
      <c r="J32" s="36">
        <v>0.25246999999944819</v>
      </c>
      <c r="K32" s="36"/>
      <c r="O32" s="33">
        <f t="shared" si="6"/>
        <v>-0.1228971397847097</v>
      </c>
      <c r="Q32" s="37">
        <f t="shared" si="2"/>
        <v>34230.881999999998</v>
      </c>
      <c r="R32" s="33">
        <f t="shared" si="4"/>
        <v>1.5103706967262476E-2</v>
      </c>
      <c r="S32" s="33">
        <f t="shared" si="5"/>
        <v>12441.007999999994</v>
      </c>
      <c r="T32" s="33">
        <f t="shared" si="7"/>
        <v>32.011999999995169</v>
      </c>
    </row>
    <row r="33" spans="1:20" s="33" customFormat="1">
      <c r="A33" s="33" t="s">
        <v>42</v>
      </c>
      <c r="B33" s="34"/>
      <c r="C33" s="38">
        <v>50304.393900000003</v>
      </c>
      <c r="D33" s="38"/>
      <c r="E33" s="33">
        <f t="shared" si="0"/>
        <v>1.4025447208005004E-3</v>
      </c>
      <c r="F33" s="33">
        <f t="shared" si="1"/>
        <v>0</v>
      </c>
      <c r="G33" s="38">
        <f t="shared" si="3"/>
        <v>3.9000000033411197E-3</v>
      </c>
      <c r="J33" s="33">
        <f t="shared" ref="J33:J49" si="8">+G33</f>
        <v>3.9000000033411197E-3</v>
      </c>
      <c r="O33" s="33">
        <f t="shared" si="6"/>
        <v>-7.255930548062714E-3</v>
      </c>
      <c r="Q33" s="37">
        <f t="shared" si="2"/>
        <v>35285.893900000003</v>
      </c>
      <c r="R33" s="33">
        <f t="shared" si="4"/>
        <v>1.2445478646774545E-4</v>
      </c>
      <c r="S33" s="33">
        <f t="shared" si="5"/>
        <v>13496.019899999999</v>
      </c>
      <c r="T33" s="33">
        <f t="shared" si="7"/>
        <v>1055.011900000005</v>
      </c>
    </row>
    <row r="34" spans="1:20" s="33" customFormat="1">
      <c r="A34" s="33" t="s">
        <v>42</v>
      </c>
      <c r="B34" s="34"/>
      <c r="C34" s="38">
        <v>50315.5124</v>
      </c>
      <c r="D34" s="38"/>
      <c r="E34" s="33">
        <f t="shared" si="0"/>
        <v>3.9999136895557879</v>
      </c>
      <c r="F34" s="33">
        <f t="shared" si="1"/>
        <v>4</v>
      </c>
      <c r="G34" s="38">
        <f t="shared" ref="G34:G49" si="9">+C34-(C$7+F34*C$8)</f>
        <v>-2.4000000121304765E-4</v>
      </c>
      <c r="J34" s="33">
        <f t="shared" si="8"/>
        <v>-2.4000000121304765E-4</v>
      </c>
      <c r="O34" s="33">
        <f t="shared" si="6"/>
        <v>-6.0370508723141293E-3</v>
      </c>
      <c r="Q34" s="37">
        <f t="shared" si="2"/>
        <v>35297.0124</v>
      </c>
      <c r="R34" s="33">
        <f t="shared" si="4"/>
        <v>3.3605798802133808E-5</v>
      </c>
      <c r="S34" s="33">
        <f t="shared" si="5"/>
        <v>13507.138399999996</v>
      </c>
      <c r="T34" s="33">
        <f t="shared" si="7"/>
        <v>11.118499999996857</v>
      </c>
    </row>
    <row r="35" spans="1:20" s="33" customFormat="1">
      <c r="A35" s="33" t="s">
        <v>42</v>
      </c>
      <c r="B35" s="34"/>
      <c r="C35" s="38">
        <v>50361.394800000002</v>
      </c>
      <c r="D35" s="38"/>
      <c r="E35" s="33">
        <f t="shared" si="0"/>
        <v>20.50045672610187</v>
      </c>
      <c r="F35" s="33">
        <f t="shared" si="1"/>
        <v>20.5</v>
      </c>
      <c r="G35" s="38">
        <f t="shared" si="9"/>
        <v>1.2700000006589107E-3</v>
      </c>
      <c r="J35" s="33">
        <f t="shared" si="8"/>
        <v>1.2700000006589107E-3</v>
      </c>
      <c r="O35" s="33">
        <f t="shared" si="6"/>
        <v>-1.0091722098512163E-3</v>
      </c>
      <c r="Q35" s="37">
        <f t="shared" si="2"/>
        <v>35342.894800000002</v>
      </c>
      <c r="R35" s="33">
        <f t="shared" si="4"/>
        <v>5.1946259651616184E-6</v>
      </c>
      <c r="S35" s="33">
        <f t="shared" si="5"/>
        <v>13553.020799999998</v>
      </c>
      <c r="T35" s="33">
        <f t="shared" si="7"/>
        <v>45.882400000002235</v>
      </c>
    </row>
    <row r="36" spans="1:20" s="33" customFormat="1">
      <c r="A36" s="33" t="s">
        <v>42</v>
      </c>
      <c r="B36" s="34"/>
      <c r="C36" s="38">
        <v>50396.193700000003</v>
      </c>
      <c r="D36" s="38"/>
      <c r="E36" s="33">
        <f t="shared" si="0"/>
        <v>33.015075557602877</v>
      </c>
      <c r="F36" s="33">
        <f t="shared" si="1"/>
        <v>33</v>
      </c>
      <c r="G36" s="38">
        <f t="shared" si="9"/>
        <v>4.1920000003301539E-2</v>
      </c>
      <c r="J36" s="33">
        <f t="shared" si="8"/>
        <v>4.1920000003301539E-2</v>
      </c>
      <c r="O36" s="33">
        <f t="shared" si="6"/>
        <v>2.7998267768631121E-3</v>
      </c>
      <c r="Q36" s="37">
        <f t="shared" si="2"/>
        <v>35377.693700000003</v>
      </c>
      <c r="R36" s="33">
        <f t="shared" si="4"/>
        <v>1.5303879532665497E-3</v>
      </c>
      <c r="S36" s="33">
        <f t="shared" si="5"/>
        <v>13587.8197</v>
      </c>
      <c r="T36" s="33">
        <f t="shared" si="7"/>
        <v>34.798900000001595</v>
      </c>
    </row>
    <row r="37" spans="1:20" s="33" customFormat="1">
      <c r="A37" s="33" t="s">
        <v>42</v>
      </c>
      <c r="B37" s="34"/>
      <c r="C37" s="38">
        <v>50582.4853</v>
      </c>
      <c r="D37" s="38"/>
      <c r="E37" s="33">
        <f t="shared" si="0"/>
        <v>100.01053706673986</v>
      </c>
      <c r="F37" s="33">
        <f t="shared" si="1"/>
        <v>100</v>
      </c>
      <c r="G37" s="38">
        <f t="shared" si="9"/>
        <v>2.9300000001967419E-2</v>
      </c>
      <c r="J37" s="33">
        <f t="shared" si="8"/>
        <v>2.9300000001967419E-2</v>
      </c>
      <c r="O37" s="33">
        <f t="shared" si="6"/>
        <v>2.321606134565191E-2</v>
      </c>
      <c r="Q37" s="37">
        <f t="shared" si="2"/>
        <v>35563.9853</v>
      </c>
      <c r="R37" s="33">
        <f t="shared" si="4"/>
        <v>3.7014309573810165E-5</v>
      </c>
      <c r="S37" s="33">
        <f t="shared" si="5"/>
        <v>13774.111299999997</v>
      </c>
      <c r="T37" s="33">
        <f t="shared" si="7"/>
        <v>186.29159999999683</v>
      </c>
    </row>
    <row r="38" spans="1:20" s="33" customFormat="1">
      <c r="A38" s="33" t="s">
        <v>42</v>
      </c>
      <c r="B38" s="34"/>
      <c r="C38" s="38">
        <v>50671.478000000003</v>
      </c>
      <c r="D38" s="38"/>
      <c r="E38" s="33">
        <f t="shared" si="0"/>
        <v>132.01470154567741</v>
      </c>
      <c r="F38" s="33">
        <f t="shared" si="1"/>
        <v>132</v>
      </c>
      <c r="G38" s="38">
        <f t="shared" si="9"/>
        <v>4.0880000000470318E-2</v>
      </c>
      <c r="J38" s="33">
        <f t="shared" si="8"/>
        <v>4.0880000000470318E-2</v>
      </c>
      <c r="O38" s="33">
        <f t="shared" si="6"/>
        <v>3.296709875164059E-2</v>
      </c>
      <c r="Q38" s="37">
        <f t="shared" si="2"/>
        <v>35652.978000000003</v>
      </c>
      <c r="R38" s="33">
        <f t="shared" si="4"/>
        <v>6.2614006173731062E-5</v>
      </c>
      <c r="S38" s="33">
        <f t="shared" si="5"/>
        <v>13863.103999999999</v>
      </c>
      <c r="T38" s="33">
        <f t="shared" si="7"/>
        <v>88.992700000002515</v>
      </c>
    </row>
    <row r="39" spans="1:20" s="33" customFormat="1">
      <c r="A39" s="33" t="s">
        <v>42</v>
      </c>
      <c r="B39" s="34"/>
      <c r="C39" s="38">
        <v>50696.503799999999</v>
      </c>
      <c r="D39" s="38"/>
      <c r="E39" s="33">
        <f t="shared" si="0"/>
        <v>141.01465119791675</v>
      </c>
      <c r="F39" s="33">
        <f t="shared" si="1"/>
        <v>141</v>
      </c>
      <c r="G39" s="38">
        <f t="shared" si="9"/>
        <v>4.0739999996731058E-2</v>
      </c>
      <c r="J39" s="33">
        <f t="shared" si="8"/>
        <v>4.0739999996731058E-2</v>
      </c>
      <c r="O39" s="33">
        <f t="shared" si="6"/>
        <v>3.5709578022074903E-2</v>
      </c>
      <c r="Q39" s="37">
        <f t="shared" si="2"/>
        <v>35678.003799999999</v>
      </c>
      <c r="R39" s="33">
        <f t="shared" si="4"/>
        <v>2.5305145243103527E-5</v>
      </c>
      <c r="S39" s="33">
        <f t="shared" si="5"/>
        <v>13888.129799999995</v>
      </c>
      <c r="T39" s="33">
        <f t="shared" si="7"/>
        <v>25.025799999995797</v>
      </c>
    </row>
    <row r="40" spans="1:20" s="33" customFormat="1">
      <c r="A40" s="33" t="s">
        <v>42</v>
      </c>
      <c r="B40" s="34"/>
      <c r="C40" s="38">
        <v>50717.366099999999</v>
      </c>
      <c r="D40" s="38"/>
      <c r="E40" s="33">
        <f t="shared" si="0"/>
        <v>148.51729445527315</v>
      </c>
      <c r="F40" s="33">
        <f t="shared" si="1"/>
        <v>148.5</v>
      </c>
      <c r="G40" s="38">
        <f t="shared" si="9"/>
        <v>4.8089999996591359E-2</v>
      </c>
      <c r="J40" s="33">
        <f t="shared" si="8"/>
        <v>4.8089999996591359E-2</v>
      </c>
      <c r="O40" s="33">
        <f t="shared" si="6"/>
        <v>3.7994977414103501E-2</v>
      </c>
      <c r="Q40" s="37">
        <f t="shared" si="2"/>
        <v>35698.866099999999</v>
      </c>
      <c r="R40" s="33">
        <f t="shared" si="4"/>
        <v>1.0190948094093984E-4</v>
      </c>
      <c r="S40" s="33">
        <f t="shared" si="5"/>
        <v>13908.992099999996</v>
      </c>
      <c r="T40" s="33">
        <f t="shared" si="7"/>
        <v>20.862300000000687</v>
      </c>
    </row>
    <row r="41" spans="1:20" s="33" customFormat="1">
      <c r="A41" s="33" t="s">
        <v>42</v>
      </c>
      <c r="B41" s="34"/>
      <c r="C41" s="38">
        <v>50749.345500000003</v>
      </c>
      <c r="D41" s="38"/>
      <c r="E41" s="33">
        <f t="shared" si="0"/>
        <v>160.01794537987516</v>
      </c>
      <c r="F41" s="33">
        <f t="shared" si="1"/>
        <v>160</v>
      </c>
      <c r="G41" s="38">
        <f t="shared" si="9"/>
        <v>4.9900000005436596E-2</v>
      </c>
      <c r="J41" s="33">
        <f t="shared" si="8"/>
        <v>4.9900000005436596E-2</v>
      </c>
      <c r="O41" s="33">
        <f t="shared" si="6"/>
        <v>4.1499256481880679E-2</v>
      </c>
      <c r="Q41" s="37">
        <f t="shared" si="2"/>
        <v>35730.845500000003</v>
      </c>
      <c r="R41" s="33">
        <f t="shared" si="4"/>
        <v>7.0572491748566673E-5</v>
      </c>
      <c r="S41" s="33">
        <f t="shared" si="5"/>
        <v>13940.9715</v>
      </c>
      <c r="T41" s="33">
        <f t="shared" si="7"/>
        <v>31.979400000003807</v>
      </c>
    </row>
    <row r="42" spans="1:20" s="33" customFormat="1">
      <c r="A42" s="33" t="s">
        <v>42</v>
      </c>
      <c r="B42" s="34"/>
      <c r="C42" s="38">
        <v>51045.515700000004</v>
      </c>
      <c r="D42" s="38"/>
      <c r="E42" s="33">
        <f t="shared" si="0"/>
        <v>266.52870181899408</v>
      </c>
      <c r="F42" s="33">
        <f t="shared" si="1"/>
        <v>266.5</v>
      </c>
      <c r="G42" s="38">
        <f t="shared" si="9"/>
        <v>7.9810000002908055E-2</v>
      </c>
      <c r="J42" s="33">
        <f t="shared" si="8"/>
        <v>7.9810000002908055E-2</v>
      </c>
      <c r="O42" s="33">
        <f t="shared" si="6"/>
        <v>7.395192784868676E-2</v>
      </c>
      <c r="Q42" s="37">
        <f t="shared" si="2"/>
        <v>36027.015700000004</v>
      </c>
      <c r="R42" s="33">
        <f t="shared" si="4"/>
        <v>3.4317009364062914E-5</v>
      </c>
      <c r="S42" s="33">
        <f t="shared" si="5"/>
        <v>14237.1417</v>
      </c>
      <c r="T42" s="33">
        <f t="shared" si="7"/>
        <v>296.17020000000048</v>
      </c>
    </row>
    <row r="43" spans="1:20" s="33" customFormat="1">
      <c r="A43" s="33" t="s">
        <v>42</v>
      </c>
      <c r="B43" s="34"/>
      <c r="C43" s="38">
        <v>51045.518700000001</v>
      </c>
      <c r="D43" s="38"/>
      <c r="E43" s="33">
        <f t="shared" si="0"/>
        <v>266.52978069954656</v>
      </c>
      <c r="F43" s="33">
        <f t="shared" si="1"/>
        <v>266.5</v>
      </c>
      <c r="G43" s="38">
        <f t="shared" si="9"/>
        <v>8.2809999999881256E-2</v>
      </c>
      <c r="J43" s="33">
        <f t="shared" si="8"/>
        <v>8.2809999999881256E-2</v>
      </c>
      <c r="O43" s="33">
        <f t="shared" si="6"/>
        <v>7.395192784868676E-2</v>
      </c>
      <c r="Q43" s="37">
        <f t="shared" si="2"/>
        <v>36027.018700000001</v>
      </c>
      <c r="R43" s="33">
        <f t="shared" si="4"/>
        <v>7.8465442235767485E-5</v>
      </c>
      <c r="S43" s="33">
        <f t="shared" si="5"/>
        <v>14237.144699999997</v>
      </c>
      <c r="T43" s="33">
        <f t="shared" si="7"/>
        <v>2.9999999969732016E-3</v>
      </c>
    </row>
    <row r="44" spans="1:20" s="33" customFormat="1">
      <c r="A44" s="33" t="s">
        <v>42</v>
      </c>
      <c r="B44" s="34"/>
      <c r="C44" s="38">
        <v>51376.453999999998</v>
      </c>
      <c r="D44" s="38"/>
      <c r="E44" s="33">
        <f t="shared" si="0"/>
        <v>385.54300058259491</v>
      </c>
      <c r="F44" s="33">
        <f t="shared" si="1"/>
        <v>385.5</v>
      </c>
      <c r="G44" s="38">
        <f t="shared" si="9"/>
        <v>0.11956999999529216</v>
      </c>
      <c r="J44" s="33">
        <f t="shared" si="8"/>
        <v>0.11956999999529216</v>
      </c>
      <c r="O44" s="33">
        <f t="shared" si="6"/>
        <v>0.11021359820220715</v>
      </c>
      <c r="Q44" s="37">
        <f t="shared" si="2"/>
        <v>36357.953999999998</v>
      </c>
      <c r="R44" s="33">
        <f t="shared" si="4"/>
        <v>8.7542254513644477E-5</v>
      </c>
      <c r="S44" s="33">
        <f t="shared" si="5"/>
        <v>14568.079999999994</v>
      </c>
      <c r="T44" s="33">
        <f t="shared" si="7"/>
        <v>330.93529999999737</v>
      </c>
    </row>
    <row r="45" spans="1:20" s="33" customFormat="1">
      <c r="A45" s="33" t="s">
        <v>42</v>
      </c>
      <c r="B45" s="34"/>
      <c r="C45" s="38">
        <v>51426.506099999999</v>
      </c>
      <c r="D45" s="38"/>
      <c r="E45" s="33">
        <f t="shared" si="0"/>
        <v>403.54307970050246</v>
      </c>
      <c r="F45" s="33">
        <f t="shared" si="1"/>
        <v>403.5</v>
      </c>
      <c r="G45" s="38">
        <f t="shared" si="9"/>
        <v>0.11978999999701045</v>
      </c>
      <c r="J45" s="33">
        <f t="shared" si="8"/>
        <v>0.11978999999701045</v>
      </c>
      <c r="O45" s="33">
        <f t="shared" si="6"/>
        <v>0.11569855674307579</v>
      </c>
      <c r="Q45" s="37">
        <f t="shared" si="2"/>
        <v>36408.006099999999</v>
      </c>
      <c r="R45" s="33">
        <f t="shared" si="4"/>
        <v>1.6739907900167481E-5</v>
      </c>
      <c r="S45" s="33">
        <f t="shared" si="5"/>
        <v>14618.132099999995</v>
      </c>
      <c r="T45" s="33">
        <f t="shared" si="7"/>
        <v>50.052100000000792</v>
      </c>
    </row>
    <row r="46" spans="1:20" s="33" customFormat="1">
      <c r="A46" s="33" t="s">
        <v>42</v>
      </c>
      <c r="B46" s="34"/>
      <c r="C46" s="38">
        <v>51433.461000000003</v>
      </c>
      <c r="D46" s="38"/>
      <c r="E46" s="33">
        <f t="shared" si="0"/>
        <v>406.04424848777035</v>
      </c>
      <c r="F46" s="33">
        <f t="shared" si="1"/>
        <v>406</v>
      </c>
      <c r="G46" s="38">
        <f t="shared" si="9"/>
        <v>0.12304000000585802</v>
      </c>
      <c r="J46" s="33">
        <f t="shared" si="8"/>
        <v>0.12304000000585802</v>
      </c>
      <c r="O46" s="33">
        <f t="shared" si="6"/>
        <v>0.11646035654041866</v>
      </c>
      <c r="Q46" s="37">
        <f t="shared" si="2"/>
        <v>36414.961000000003</v>
      </c>
      <c r="R46" s="33">
        <f t="shared" si="4"/>
        <v>4.3291708132298923E-5</v>
      </c>
      <c r="S46" s="33">
        <f t="shared" si="5"/>
        <v>14625.087</v>
      </c>
      <c r="T46" s="33">
        <f t="shared" si="7"/>
        <v>6.9549000000042724</v>
      </c>
    </row>
    <row r="47" spans="1:20" s="33" customFormat="1">
      <c r="A47" s="39" t="s">
        <v>56</v>
      </c>
      <c r="B47" s="40" t="s">
        <v>57</v>
      </c>
      <c r="C47" s="41">
        <v>52694.623299999999</v>
      </c>
      <c r="D47" s="41">
        <v>5.9999999999999995E-4</v>
      </c>
      <c r="E47" s="33">
        <f t="shared" si="0"/>
        <v>859.59207526270734</v>
      </c>
      <c r="F47" s="33">
        <f t="shared" si="1"/>
        <v>859.5</v>
      </c>
      <c r="G47" s="38">
        <f t="shared" si="9"/>
        <v>0.25602999999682652</v>
      </c>
      <c r="J47" s="33">
        <f t="shared" si="8"/>
        <v>0.25602999999682652</v>
      </c>
      <c r="O47" s="33">
        <f t="shared" si="6"/>
        <v>0.25465083977841446</v>
      </c>
      <c r="Q47" s="37">
        <f t="shared" si="2"/>
        <v>37676.123299999999</v>
      </c>
    </row>
    <row r="48" spans="1:20" s="33" customFormat="1">
      <c r="A48" s="39" t="s">
        <v>56</v>
      </c>
      <c r="B48" s="42"/>
      <c r="C48" s="41">
        <v>52804.476000000002</v>
      </c>
      <c r="D48" s="41">
        <v>1E-4</v>
      </c>
      <c r="E48" s="33">
        <f t="shared" si="0"/>
        <v>899.09805585724359</v>
      </c>
      <c r="F48" s="33">
        <f t="shared" si="1"/>
        <v>899</v>
      </c>
      <c r="G48" s="38">
        <f t="shared" si="9"/>
        <v>0.2726600000023609</v>
      </c>
      <c r="J48" s="33">
        <f t="shared" si="8"/>
        <v>0.2726600000023609</v>
      </c>
      <c r="O48" s="33">
        <f t="shared" si="6"/>
        <v>0.26668727657643171</v>
      </c>
      <c r="Q48" s="37">
        <f t="shared" si="2"/>
        <v>37785.976000000002</v>
      </c>
    </row>
    <row r="49" spans="1:20" s="33" customFormat="1">
      <c r="A49" s="43" t="s">
        <v>47</v>
      </c>
      <c r="B49" s="40" t="s">
        <v>48</v>
      </c>
      <c r="C49" s="38">
        <v>52907.370999999999</v>
      </c>
      <c r="D49" s="41">
        <v>4.0000000000000001E-3</v>
      </c>
      <c r="E49" s="33">
        <f t="shared" si="0"/>
        <v>936.10186070932787</v>
      </c>
      <c r="F49" s="33">
        <f t="shared" si="1"/>
        <v>936</v>
      </c>
      <c r="G49" s="38">
        <f t="shared" si="9"/>
        <v>0.2832399999970221</v>
      </c>
      <c r="J49" s="33">
        <f t="shared" si="8"/>
        <v>0.2832399999970221</v>
      </c>
      <c r="O49" s="33">
        <f t="shared" si="6"/>
        <v>0.27796191357710615</v>
      </c>
      <c r="Q49" s="37">
        <f t="shared" si="2"/>
        <v>37888.870999999999</v>
      </c>
      <c r="R49" s="33">
        <f>(G49-O49)^2</f>
        <v>2.7858196256101177E-5</v>
      </c>
      <c r="S49" s="33">
        <f>+C49-C$22</f>
        <v>16098.996999999996</v>
      </c>
      <c r="T49" s="33">
        <f>C49-C48</f>
        <v>102.8949999999968</v>
      </c>
    </row>
    <row r="50" spans="1:20" s="33" customFormat="1">
      <c r="A50" s="44" t="s">
        <v>63</v>
      </c>
      <c r="B50" s="45" t="s">
        <v>48</v>
      </c>
      <c r="C50" s="35">
        <v>53566.463400000001</v>
      </c>
      <c r="D50" s="35">
        <v>5.9999999999999995E-4</v>
      </c>
      <c r="E50" s="33">
        <f>+(C50-C$7)/C$8</f>
        <v>1173.1291851574811</v>
      </c>
      <c r="F50" s="33">
        <f t="shared" si="1"/>
        <v>1173</v>
      </c>
      <c r="G50" s="38">
        <f>+C50-(C$7+F50*C$8)</f>
        <v>0.35921999999845866</v>
      </c>
      <c r="J50" s="33">
        <f>+G50</f>
        <v>0.35921999999845866</v>
      </c>
      <c r="O50" s="33">
        <f>+C$11+C$12*F50</f>
        <v>0.35018053436520979</v>
      </c>
      <c r="Q50" s="37">
        <f>+C50-15018.5</f>
        <v>38547.963400000001</v>
      </c>
    </row>
    <row r="51" spans="1:20" s="33" customFormat="1">
      <c r="A51" s="8" t="s">
        <v>65</v>
      </c>
      <c r="C51" s="38">
        <v>54802.599399999999</v>
      </c>
      <c r="D51" s="38">
        <v>2.0000000000000001E-4</v>
      </c>
      <c r="E51" s="33">
        <f>+(C51-C$7)/C$8</f>
        <v>1617.6768824667524</v>
      </c>
      <c r="F51" s="33">
        <f t="shared" si="1"/>
        <v>1617.5</v>
      </c>
      <c r="G51" s="38">
        <f>+C51-(C$7+F51*C$8)</f>
        <v>0.49184999999852153</v>
      </c>
      <c r="K51" s="33">
        <f>+G51</f>
        <v>0.49184999999852153</v>
      </c>
      <c r="O51" s="33">
        <f>+C$11+C$12*F51</f>
        <v>0.48562853833277131</v>
      </c>
      <c r="Q51" s="37">
        <f>+C51-15018.5</f>
        <v>39784.099399999999</v>
      </c>
    </row>
    <row r="52" spans="1:20" s="33" customFormat="1">
      <c r="C52" s="38"/>
      <c r="D52" s="38"/>
      <c r="G52" s="38"/>
    </row>
    <row r="53" spans="1:20" s="33" customFormat="1">
      <c r="C53" s="38"/>
      <c r="D53" s="38"/>
      <c r="G53" s="38"/>
    </row>
    <row r="54" spans="1:20" s="33" customFormat="1">
      <c r="C54" s="38"/>
      <c r="D54" s="38"/>
      <c r="G54" s="38"/>
    </row>
    <row r="55" spans="1:20" s="33" customFormat="1">
      <c r="C55" s="38"/>
      <c r="D55" s="38"/>
      <c r="G55" s="38"/>
    </row>
    <row r="56" spans="1:20" s="33" customFormat="1">
      <c r="C56" s="38"/>
      <c r="D56" s="38"/>
      <c r="G56" s="38"/>
    </row>
    <row r="57" spans="1:20" s="33" customFormat="1">
      <c r="C57" s="38"/>
      <c r="D57" s="38"/>
      <c r="G57" s="38"/>
    </row>
    <row r="58" spans="1:20" s="33" customFormat="1">
      <c r="C58" s="38"/>
      <c r="D58" s="38"/>
      <c r="G58" s="38"/>
    </row>
    <row r="59" spans="1:20" s="33" customFormat="1">
      <c r="C59" s="38"/>
      <c r="D59" s="38"/>
      <c r="G59" s="38"/>
    </row>
    <row r="60" spans="1:20" s="33" customFormat="1">
      <c r="C60" s="38"/>
      <c r="D60" s="38"/>
      <c r="G60" s="38"/>
    </row>
    <row r="61" spans="1:20" s="33" customFormat="1">
      <c r="C61" s="38"/>
      <c r="D61" s="38"/>
      <c r="G61" s="38"/>
    </row>
    <row r="62" spans="1:20" s="33" customFormat="1">
      <c r="C62" s="38"/>
      <c r="D62" s="38"/>
      <c r="G62" s="38"/>
    </row>
    <row r="63" spans="1:20" s="33" customFormat="1">
      <c r="C63" s="38"/>
      <c r="D63" s="38"/>
      <c r="G63" s="38"/>
    </row>
    <row r="64" spans="1:20" s="33" customFormat="1">
      <c r="C64" s="38"/>
      <c r="D64" s="38"/>
      <c r="G64" s="38"/>
    </row>
    <row r="65" spans="3:7" s="33" customFormat="1">
      <c r="C65" s="38"/>
      <c r="D65" s="38"/>
      <c r="G65" s="38"/>
    </row>
    <row r="66" spans="3:7" s="33" customFormat="1">
      <c r="C66" s="38"/>
      <c r="D66" s="38"/>
      <c r="G66" s="38"/>
    </row>
    <row r="67" spans="3:7" s="33" customFormat="1">
      <c r="C67" s="38"/>
      <c r="D67" s="38"/>
      <c r="G67" s="38"/>
    </row>
    <row r="68" spans="3:7" s="33" customFormat="1">
      <c r="C68" s="38"/>
      <c r="D68" s="38"/>
      <c r="G68" s="38"/>
    </row>
    <row r="69" spans="3:7" s="33" customFormat="1">
      <c r="C69" s="38"/>
      <c r="D69" s="38"/>
      <c r="G69" s="38"/>
    </row>
    <row r="70" spans="3:7" s="33" customFormat="1">
      <c r="C70" s="38"/>
      <c r="D70" s="38"/>
      <c r="G70" s="38"/>
    </row>
    <row r="71" spans="3:7" s="33" customFormat="1">
      <c r="C71" s="38"/>
      <c r="D71" s="38"/>
      <c r="G71" s="38"/>
    </row>
    <row r="72" spans="3:7" s="33" customFormat="1">
      <c r="C72" s="38"/>
      <c r="D72" s="38"/>
      <c r="G72" s="38"/>
    </row>
    <row r="73" spans="3:7" s="33" customFormat="1">
      <c r="C73" s="38"/>
      <c r="D73" s="38"/>
      <c r="G73" s="38"/>
    </row>
    <row r="74" spans="3:7" s="33" customFormat="1">
      <c r="C74" s="38"/>
      <c r="D74" s="38"/>
      <c r="G74" s="38"/>
    </row>
    <row r="75" spans="3:7" s="33" customFormat="1">
      <c r="C75" s="38"/>
      <c r="D75" s="38"/>
      <c r="G75" s="38"/>
    </row>
    <row r="76" spans="3:7" s="33" customFormat="1">
      <c r="C76" s="38"/>
      <c r="D76" s="38"/>
      <c r="G76" s="38"/>
    </row>
    <row r="77" spans="3:7" s="33" customFormat="1">
      <c r="C77" s="38"/>
      <c r="D77" s="38"/>
      <c r="G77" s="38"/>
    </row>
    <row r="78" spans="3:7" s="33" customFormat="1">
      <c r="C78" s="38"/>
      <c r="D78" s="38"/>
      <c r="G78" s="38"/>
    </row>
    <row r="79" spans="3:7" s="33" customFormat="1">
      <c r="C79" s="38"/>
      <c r="D79" s="38"/>
      <c r="G79" s="38"/>
    </row>
    <row r="80" spans="3:7" s="33" customFormat="1">
      <c r="C80" s="38"/>
      <c r="D80" s="38"/>
      <c r="G80" s="38"/>
    </row>
    <row r="81" spans="3:7" s="33" customFormat="1">
      <c r="C81" s="38"/>
      <c r="D81" s="38"/>
      <c r="G81" s="38"/>
    </row>
    <row r="82" spans="3:7" s="33" customFormat="1">
      <c r="C82" s="38"/>
      <c r="D82" s="38"/>
      <c r="G82" s="38"/>
    </row>
    <row r="83" spans="3:7" s="33" customFormat="1">
      <c r="C83" s="38"/>
      <c r="D83" s="38"/>
      <c r="G83" s="38"/>
    </row>
    <row r="84" spans="3:7" s="33" customFormat="1">
      <c r="C84" s="38"/>
      <c r="D84" s="38"/>
      <c r="G84" s="38"/>
    </row>
    <row r="85" spans="3:7" s="33" customFormat="1">
      <c r="C85" s="38"/>
      <c r="D85" s="38"/>
      <c r="G85" s="38"/>
    </row>
    <row r="86" spans="3:7" s="33" customFormat="1">
      <c r="C86" s="38"/>
      <c r="D86" s="38"/>
      <c r="G86" s="38"/>
    </row>
    <row r="87" spans="3:7" s="33" customFormat="1">
      <c r="C87" s="38"/>
      <c r="D87" s="38"/>
      <c r="G87" s="38"/>
    </row>
    <row r="88" spans="3:7" s="33" customFormat="1">
      <c r="C88" s="38"/>
      <c r="D88" s="38"/>
      <c r="G88" s="38"/>
    </row>
    <row r="89" spans="3:7" s="33" customFormat="1">
      <c r="C89" s="38"/>
      <c r="D89" s="38"/>
      <c r="G89" s="38"/>
    </row>
    <row r="90" spans="3:7" s="33" customFormat="1">
      <c r="C90" s="38"/>
      <c r="D90" s="38"/>
      <c r="G90" s="38"/>
    </row>
    <row r="91" spans="3:7" s="33" customFormat="1">
      <c r="C91" s="38"/>
      <c r="D91" s="38"/>
      <c r="G91" s="38"/>
    </row>
    <row r="92" spans="3:7" s="33" customFormat="1">
      <c r="C92" s="38"/>
      <c r="D92" s="38"/>
      <c r="G92" s="38"/>
    </row>
    <row r="93" spans="3:7" s="33" customFormat="1">
      <c r="C93" s="38"/>
      <c r="D93" s="38"/>
      <c r="G93" s="38"/>
    </row>
    <row r="94" spans="3:7" s="33" customFormat="1">
      <c r="C94" s="38"/>
      <c r="D94" s="38"/>
      <c r="G94" s="38"/>
    </row>
    <row r="95" spans="3:7" s="33" customFormat="1">
      <c r="C95" s="38"/>
      <c r="D95" s="38"/>
      <c r="G95" s="38"/>
    </row>
    <row r="96" spans="3:7" s="33" customFormat="1">
      <c r="C96" s="38"/>
      <c r="D96" s="38"/>
      <c r="G96" s="38"/>
    </row>
    <row r="97" spans="3:7" s="33" customFormat="1">
      <c r="C97" s="38"/>
      <c r="D97" s="38"/>
      <c r="G97" s="38"/>
    </row>
    <row r="98" spans="3:7" s="33" customFormat="1">
      <c r="C98" s="38"/>
      <c r="D98" s="38"/>
      <c r="G98" s="38"/>
    </row>
    <row r="99" spans="3:7" s="33" customFormat="1">
      <c r="C99" s="38"/>
      <c r="D99" s="38"/>
      <c r="G99" s="38"/>
    </row>
    <row r="100" spans="3:7" s="33" customFormat="1">
      <c r="C100" s="38"/>
      <c r="D100" s="38"/>
      <c r="G100" s="38"/>
    </row>
    <row r="101" spans="3:7" s="33" customFormat="1">
      <c r="C101" s="38"/>
      <c r="D101" s="38"/>
      <c r="G101" s="38"/>
    </row>
    <row r="102" spans="3:7" s="33" customFormat="1">
      <c r="C102" s="38"/>
      <c r="D102" s="38"/>
      <c r="G102" s="38"/>
    </row>
    <row r="103" spans="3:7" s="33" customFormat="1">
      <c r="C103" s="38"/>
      <c r="D103" s="38"/>
      <c r="G103" s="38"/>
    </row>
    <row r="104" spans="3:7" s="33" customFormat="1">
      <c r="C104" s="38"/>
      <c r="D104" s="38"/>
      <c r="G104" s="38"/>
    </row>
    <row r="105" spans="3:7" s="33" customFormat="1">
      <c r="C105" s="38"/>
      <c r="D105" s="38"/>
      <c r="G105" s="38"/>
    </row>
    <row r="106" spans="3:7" s="33" customFormat="1">
      <c r="C106" s="38"/>
      <c r="D106" s="38"/>
      <c r="G106" s="38"/>
    </row>
    <row r="107" spans="3:7" s="33" customFormat="1">
      <c r="C107" s="38"/>
      <c r="D107" s="38"/>
      <c r="G107" s="38"/>
    </row>
    <row r="108" spans="3:7" s="33" customFormat="1">
      <c r="C108" s="38"/>
      <c r="D108" s="38"/>
      <c r="G108" s="38"/>
    </row>
    <row r="109" spans="3:7" s="33" customFormat="1">
      <c r="C109" s="38"/>
      <c r="D109" s="38"/>
      <c r="G109" s="38"/>
    </row>
    <row r="110" spans="3:7" s="33" customFormat="1">
      <c r="C110" s="38"/>
      <c r="D110" s="38"/>
      <c r="G110" s="38"/>
    </row>
    <row r="111" spans="3:7" s="33" customFormat="1">
      <c r="C111" s="38"/>
      <c r="D111" s="38"/>
      <c r="G111" s="38"/>
    </row>
    <row r="112" spans="3:7" s="33" customFormat="1">
      <c r="C112" s="38"/>
      <c r="D112" s="38"/>
      <c r="G112" s="38"/>
    </row>
    <row r="113" spans="3:7" s="33" customFormat="1">
      <c r="C113" s="38"/>
      <c r="D113" s="38"/>
      <c r="G113" s="38"/>
    </row>
    <row r="114" spans="3:7" s="33" customFormat="1">
      <c r="C114" s="38"/>
      <c r="D114" s="38"/>
      <c r="G114" s="38"/>
    </row>
    <row r="115" spans="3:7" s="33" customFormat="1">
      <c r="C115" s="38"/>
      <c r="D115" s="38"/>
      <c r="G115" s="38"/>
    </row>
    <row r="116" spans="3:7" s="33" customFormat="1">
      <c r="C116" s="38"/>
      <c r="D116" s="38"/>
      <c r="G116" s="38"/>
    </row>
    <row r="117" spans="3:7" s="33" customFormat="1">
      <c r="C117" s="38"/>
      <c r="D117" s="38"/>
      <c r="G117" s="38"/>
    </row>
    <row r="118" spans="3:7" s="33" customFormat="1">
      <c r="C118" s="38"/>
      <c r="D118" s="38"/>
      <c r="G118" s="38"/>
    </row>
    <row r="119" spans="3:7" s="33" customFormat="1">
      <c r="C119" s="38"/>
      <c r="D119" s="38"/>
      <c r="G119" s="38"/>
    </row>
    <row r="120" spans="3:7" s="33" customFormat="1">
      <c r="C120" s="38"/>
      <c r="D120" s="38"/>
      <c r="G120" s="38"/>
    </row>
    <row r="121" spans="3:7" s="33" customFormat="1">
      <c r="C121" s="38"/>
      <c r="D121" s="38"/>
      <c r="G121" s="38"/>
    </row>
    <row r="122" spans="3:7" s="33" customFormat="1">
      <c r="C122" s="38"/>
      <c r="D122" s="38"/>
      <c r="G122" s="38"/>
    </row>
    <row r="123" spans="3:7" s="33" customFormat="1">
      <c r="C123" s="38"/>
      <c r="D123" s="38"/>
      <c r="G123" s="38"/>
    </row>
    <row r="124" spans="3:7" s="33" customFormat="1">
      <c r="C124" s="38"/>
      <c r="D124" s="38"/>
      <c r="G124" s="38"/>
    </row>
    <row r="125" spans="3:7" s="33" customFormat="1">
      <c r="C125" s="38"/>
      <c r="D125" s="38"/>
      <c r="G125" s="38"/>
    </row>
    <row r="126" spans="3:7" s="33" customFormat="1">
      <c r="C126" s="38"/>
      <c r="D126" s="38"/>
      <c r="G126" s="38"/>
    </row>
    <row r="127" spans="3:7" s="33" customFormat="1">
      <c r="C127" s="38"/>
      <c r="D127" s="38"/>
      <c r="G127" s="38"/>
    </row>
    <row r="128" spans="3:7" s="33" customFormat="1">
      <c r="C128" s="38"/>
      <c r="D128" s="38"/>
      <c r="G128" s="38"/>
    </row>
    <row r="129" spans="3:7" s="33" customFormat="1">
      <c r="C129" s="38"/>
      <c r="D129" s="38"/>
      <c r="G129" s="38"/>
    </row>
    <row r="130" spans="3:7" s="33" customFormat="1">
      <c r="C130" s="38"/>
      <c r="D130" s="38"/>
      <c r="G130" s="38"/>
    </row>
    <row r="131" spans="3:7" s="33" customFormat="1">
      <c r="C131" s="38"/>
      <c r="D131" s="38"/>
      <c r="G131" s="38"/>
    </row>
    <row r="132" spans="3:7" s="33" customFormat="1">
      <c r="C132" s="38"/>
      <c r="D132" s="38"/>
      <c r="G132" s="38"/>
    </row>
    <row r="133" spans="3:7" s="33" customFormat="1">
      <c r="C133" s="38"/>
      <c r="D133" s="38"/>
      <c r="G133" s="38"/>
    </row>
    <row r="134" spans="3:7" s="33" customFormat="1">
      <c r="C134" s="38"/>
      <c r="D134" s="38"/>
      <c r="G134" s="38"/>
    </row>
    <row r="135" spans="3:7" s="33" customFormat="1">
      <c r="C135" s="38"/>
      <c r="D135" s="38"/>
      <c r="G135" s="38"/>
    </row>
    <row r="136" spans="3:7" s="33" customFormat="1">
      <c r="C136" s="38"/>
      <c r="D136" s="38"/>
      <c r="G136" s="38"/>
    </row>
    <row r="137" spans="3:7" s="33" customFormat="1">
      <c r="C137" s="38"/>
      <c r="D137" s="38"/>
      <c r="G137" s="38"/>
    </row>
    <row r="138" spans="3:7" s="33" customFormat="1">
      <c r="C138" s="38"/>
      <c r="D138" s="38"/>
      <c r="G138" s="38"/>
    </row>
    <row r="139" spans="3:7" s="33" customFormat="1">
      <c r="C139" s="38"/>
      <c r="D139" s="38"/>
      <c r="G139" s="38"/>
    </row>
    <row r="140" spans="3:7" s="33" customFormat="1">
      <c r="C140" s="38"/>
      <c r="D140" s="38"/>
      <c r="G140" s="38"/>
    </row>
    <row r="141" spans="3:7" s="33" customFormat="1">
      <c r="C141" s="38"/>
      <c r="D141" s="38"/>
      <c r="G141" s="38"/>
    </row>
    <row r="142" spans="3:7" s="33" customFormat="1">
      <c r="C142" s="38"/>
      <c r="D142" s="38"/>
      <c r="G142" s="38"/>
    </row>
    <row r="143" spans="3:7" s="33" customFormat="1">
      <c r="C143" s="38"/>
      <c r="D143" s="38"/>
      <c r="G143" s="38"/>
    </row>
    <row r="144" spans="3:7" s="33" customFormat="1">
      <c r="C144" s="38"/>
      <c r="D144" s="38"/>
      <c r="G144" s="38"/>
    </row>
    <row r="145" spans="3:7" s="33" customFormat="1">
      <c r="C145" s="38"/>
      <c r="D145" s="38"/>
      <c r="G145" s="38"/>
    </row>
    <row r="146" spans="3:7" s="33" customFormat="1">
      <c r="C146" s="38"/>
      <c r="D146" s="38"/>
      <c r="G146" s="38"/>
    </row>
    <row r="147" spans="3:7" s="33" customFormat="1">
      <c r="C147" s="38"/>
      <c r="D147" s="38"/>
      <c r="G147" s="38"/>
    </row>
    <row r="148" spans="3:7" s="33" customFormat="1">
      <c r="C148" s="38"/>
      <c r="D148" s="38"/>
      <c r="G148" s="38"/>
    </row>
    <row r="149" spans="3:7" s="33" customFormat="1">
      <c r="C149" s="38"/>
      <c r="D149" s="38"/>
      <c r="G149" s="38"/>
    </row>
    <row r="150" spans="3:7" s="33" customFormat="1">
      <c r="C150" s="38"/>
      <c r="D150" s="38"/>
      <c r="G150" s="38"/>
    </row>
    <row r="151" spans="3:7" s="33" customFormat="1">
      <c r="C151" s="38"/>
      <c r="D151" s="38"/>
      <c r="G151" s="38"/>
    </row>
    <row r="152" spans="3:7" s="33" customFormat="1">
      <c r="C152" s="38"/>
      <c r="D152" s="38"/>
      <c r="G152" s="38"/>
    </row>
    <row r="153" spans="3:7" s="33" customFormat="1">
      <c r="C153" s="38"/>
      <c r="D153" s="38"/>
      <c r="G153" s="38"/>
    </row>
    <row r="154" spans="3:7" s="33" customFormat="1">
      <c r="C154" s="38"/>
      <c r="D154" s="38"/>
      <c r="G154" s="38"/>
    </row>
    <row r="155" spans="3:7" s="33" customFormat="1">
      <c r="C155" s="38"/>
      <c r="D155" s="38"/>
      <c r="G155" s="38"/>
    </row>
    <row r="156" spans="3:7" s="33" customFormat="1">
      <c r="C156" s="38"/>
      <c r="D156" s="38"/>
      <c r="G156" s="38"/>
    </row>
    <row r="157" spans="3:7" s="33" customFormat="1">
      <c r="C157" s="38"/>
      <c r="D157" s="38"/>
      <c r="G157" s="38"/>
    </row>
    <row r="158" spans="3:7" s="33" customFormat="1">
      <c r="C158" s="38"/>
      <c r="D158" s="38"/>
      <c r="G158" s="38"/>
    </row>
    <row r="159" spans="3:7" s="33" customFormat="1">
      <c r="C159" s="38"/>
      <c r="D159" s="38"/>
      <c r="G159" s="38"/>
    </row>
    <row r="160" spans="3:7" s="33" customFormat="1">
      <c r="C160" s="38"/>
      <c r="D160" s="38"/>
      <c r="G160" s="38"/>
    </row>
    <row r="161" spans="3:7" s="33" customFormat="1">
      <c r="C161" s="38"/>
      <c r="D161" s="38"/>
      <c r="G161" s="38"/>
    </row>
    <row r="162" spans="3:7" s="33" customFormat="1">
      <c r="C162" s="38"/>
      <c r="D162" s="38"/>
      <c r="G162" s="38"/>
    </row>
    <row r="163" spans="3:7" s="33" customFormat="1">
      <c r="C163" s="38"/>
      <c r="D163" s="38"/>
      <c r="G163" s="38"/>
    </row>
    <row r="164" spans="3:7" s="33" customFormat="1">
      <c r="C164" s="38"/>
      <c r="D164" s="38"/>
      <c r="G164" s="38"/>
    </row>
    <row r="165" spans="3:7" s="33" customFormat="1">
      <c r="C165" s="38"/>
      <c r="D165" s="38"/>
      <c r="G165" s="38"/>
    </row>
    <row r="166" spans="3:7" s="33" customFormat="1">
      <c r="C166" s="38"/>
      <c r="D166" s="38"/>
      <c r="G166" s="38"/>
    </row>
    <row r="167" spans="3:7" s="33" customFormat="1">
      <c r="C167" s="38"/>
      <c r="D167" s="38"/>
      <c r="G167" s="38"/>
    </row>
    <row r="168" spans="3:7" s="33" customFormat="1">
      <c r="C168" s="38"/>
      <c r="D168" s="38"/>
      <c r="G168" s="38"/>
    </row>
    <row r="169" spans="3:7" s="33" customFormat="1">
      <c r="C169" s="38"/>
      <c r="D169" s="38"/>
      <c r="G169" s="38"/>
    </row>
    <row r="170" spans="3:7" s="33" customFormat="1">
      <c r="C170" s="38"/>
      <c r="D170" s="38"/>
      <c r="G170" s="38"/>
    </row>
    <row r="171" spans="3:7">
      <c r="C171" s="13"/>
      <c r="D171" s="13"/>
    </row>
    <row r="172" spans="3:7">
      <c r="C172" s="13"/>
      <c r="D172" s="13"/>
    </row>
    <row r="173" spans="3:7">
      <c r="C173" s="13"/>
      <c r="D173" s="13"/>
    </row>
    <row r="174" spans="3:7">
      <c r="C174" s="13"/>
      <c r="D174" s="13"/>
    </row>
    <row r="175" spans="3:7">
      <c r="C175" s="13"/>
      <c r="D175" s="13"/>
    </row>
    <row r="176" spans="3:7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</sheetData>
  <sheetProtection sheet="1" objects="1" scenarios="1"/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workbookViewId="0">
      <selection activeCell="A42" sqref="A42:D44"/>
    </sheetView>
  </sheetViews>
  <sheetFormatPr defaultRowHeight="12.75"/>
  <cols>
    <col min="1" max="1" width="19.7109375" style="13" customWidth="1"/>
    <col min="2" max="2" width="4.42578125" style="15" customWidth="1"/>
    <col min="3" max="3" width="12.7109375" style="13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3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62" t="s">
        <v>76</v>
      </c>
      <c r="I1" s="63" t="s">
        <v>77</v>
      </c>
      <c r="J1" s="64" t="s">
        <v>75</v>
      </c>
    </row>
    <row r="2" spans="1:16">
      <c r="I2" s="65" t="s">
        <v>55</v>
      </c>
      <c r="J2" s="66" t="s">
        <v>78</v>
      </c>
    </row>
    <row r="3" spans="1:16">
      <c r="A3" s="67" t="s">
        <v>79</v>
      </c>
      <c r="I3" s="65" t="s">
        <v>80</v>
      </c>
      <c r="J3" s="66" t="s">
        <v>41</v>
      </c>
    </row>
    <row r="4" spans="1:16">
      <c r="I4" s="65" t="s">
        <v>81</v>
      </c>
      <c r="J4" s="66" t="s">
        <v>41</v>
      </c>
    </row>
    <row r="5" spans="1:16" ht="13.5" thickBot="1">
      <c r="I5" s="68" t="s">
        <v>82</v>
      </c>
      <c r="J5" s="69" t="s">
        <v>83</v>
      </c>
    </row>
    <row r="10" spans="1:16" ht="13.5" thickBot="1"/>
    <row r="11" spans="1:16" ht="12.75" customHeight="1" thickBot="1">
      <c r="A11" s="13" t="str">
        <f t="shared" ref="A11:A44" si="0">P11</f>
        <v> MSAI 40.399 </v>
      </c>
      <c r="B11" s="6" t="str">
        <f t="shared" ref="B11:B44" si="1">IF(H11=INT(H11),"I","II")</f>
        <v>I</v>
      </c>
      <c r="C11" s="13">
        <f t="shared" ref="C11:C44" si="2">1*G11</f>
        <v>33894.44</v>
      </c>
      <c r="D11" s="15" t="str">
        <f t="shared" ref="D11:D44" si="3">VLOOKUP(F11,I$1:J$5,2,FALSE)</f>
        <v>vis</v>
      </c>
      <c r="E11" s="70">
        <f>VLOOKUP(C11,A!C$21:E$973,3,FALSE)</f>
        <v>-7517.809394139952</v>
      </c>
      <c r="F11" s="6" t="s">
        <v>82</v>
      </c>
      <c r="G11" s="15" t="str">
        <f t="shared" ref="G11:G44" si="4">MID(I11,3,LEN(I11)-3)</f>
        <v>33894.440</v>
      </c>
      <c r="H11" s="13">
        <f t="shared" ref="H11:H44" si="5">1*K11</f>
        <v>-4428</v>
      </c>
      <c r="I11" s="71" t="s">
        <v>85</v>
      </c>
      <c r="J11" s="72" t="s">
        <v>86</v>
      </c>
      <c r="K11" s="71">
        <v>-4428</v>
      </c>
      <c r="L11" s="71" t="s">
        <v>87</v>
      </c>
      <c r="M11" s="72" t="s">
        <v>88</v>
      </c>
      <c r="N11" s="72"/>
      <c r="O11" s="73" t="s">
        <v>89</v>
      </c>
      <c r="P11" s="73" t="s">
        <v>90</v>
      </c>
    </row>
    <row r="12" spans="1:16" ht="12.75" customHeight="1" thickBot="1">
      <c r="A12" s="13" t="str">
        <f t="shared" si="0"/>
        <v> MSAI 40.399 </v>
      </c>
      <c r="B12" s="6" t="str">
        <f t="shared" si="1"/>
        <v>I</v>
      </c>
      <c r="C12" s="13">
        <f t="shared" si="2"/>
        <v>36808.374000000003</v>
      </c>
      <c r="D12" s="15" t="str">
        <f t="shared" si="3"/>
        <v>vis</v>
      </c>
      <c r="E12" s="70">
        <f>VLOOKUP(C12,A!C$21:E$973,3,FALSE)</f>
        <v>-6469.9953103694324</v>
      </c>
      <c r="F12" s="6" t="s">
        <v>82</v>
      </c>
      <c r="G12" s="15" t="str">
        <f t="shared" si="4"/>
        <v>36808.374</v>
      </c>
      <c r="H12" s="13">
        <f t="shared" si="5"/>
        <v>-512</v>
      </c>
      <c r="I12" s="71" t="s">
        <v>91</v>
      </c>
      <c r="J12" s="72" t="s">
        <v>92</v>
      </c>
      <c r="K12" s="71">
        <v>-512</v>
      </c>
      <c r="L12" s="71" t="s">
        <v>93</v>
      </c>
      <c r="M12" s="72" t="s">
        <v>88</v>
      </c>
      <c r="N12" s="72"/>
      <c r="O12" s="73" t="s">
        <v>89</v>
      </c>
      <c r="P12" s="73" t="s">
        <v>90</v>
      </c>
    </row>
    <row r="13" spans="1:16" ht="12.75" customHeight="1" thickBot="1">
      <c r="A13" s="13" t="str">
        <f t="shared" si="0"/>
        <v> MSAI 40.399 </v>
      </c>
      <c r="B13" s="6" t="str">
        <f t="shared" si="1"/>
        <v>I</v>
      </c>
      <c r="C13" s="13">
        <f t="shared" si="2"/>
        <v>37189.377</v>
      </c>
      <c r="D13" s="15" t="str">
        <f t="shared" si="3"/>
        <v>vis</v>
      </c>
      <c r="E13" s="70">
        <f>VLOOKUP(C13,A!C$21:E$973,3,FALSE)</f>
        <v>-6332.9914148251901</v>
      </c>
      <c r="F13" s="6" t="s">
        <v>82</v>
      </c>
      <c r="G13" s="15" t="str">
        <f t="shared" si="4"/>
        <v>37189.377</v>
      </c>
      <c r="H13" s="13">
        <f t="shared" si="5"/>
        <v>0</v>
      </c>
      <c r="I13" s="71" t="s">
        <v>94</v>
      </c>
      <c r="J13" s="72" t="s">
        <v>95</v>
      </c>
      <c r="K13" s="71">
        <v>0</v>
      </c>
      <c r="L13" s="71" t="s">
        <v>96</v>
      </c>
      <c r="M13" s="72" t="s">
        <v>88</v>
      </c>
      <c r="N13" s="72"/>
      <c r="O13" s="73" t="s">
        <v>89</v>
      </c>
      <c r="P13" s="73" t="s">
        <v>90</v>
      </c>
    </row>
    <row r="14" spans="1:16" ht="12.75" customHeight="1" thickBot="1">
      <c r="A14" s="13" t="str">
        <f t="shared" si="0"/>
        <v>BAVM 141 </v>
      </c>
      <c r="B14" s="6" t="str">
        <f t="shared" si="1"/>
        <v>I</v>
      </c>
      <c r="C14" s="13">
        <f t="shared" si="2"/>
        <v>45646.239999999998</v>
      </c>
      <c r="D14" s="15" t="str">
        <f t="shared" si="3"/>
        <v>vis</v>
      </c>
      <c r="E14" s="70">
        <f>VLOOKUP(C14,A!C$21:E$973,3,FALSE)</f>
        <v>-3292.009650681664</v>
      </c>
      <c r="F14" s="6" t="s">
        <v>82</v>
      </c>
      <c r="G14" s="15" t="str">
        <f t="shared" si="4"/>
        <v>45646.240</v>
      </c>
      <c r="H14" s="13">
        <f t="shared" si="5"/>
        <v>11365</v>
      </c>
      <c r="I14" s="71" t="s">
        <v>97</v>
      </c>
      <c r="J14" s="72" t="s">
        <v>98</v>
      </c>
      <c r="K14" s="71">
        <v>11365</v>
      </c>
      <c r="L14" s="71" t="s">
        <v>99</v>
      </c>
      <c r="M14" s="72" t="s">
        <v>84</v>
      </c>
      <c r="N14" s="72"/>
      <c r="O14" s="73" t="s">
        <v>100</v>
      </c>
      <c r="P14" s="74" t="s">
        <v>101</v>
      </c>
    </row>
    <row r="15" spans="1:16" ht="12.75" customHeight="1" thickBot="1">
      <c r="A15" s="13" t="str">
        <f t="shared" si="0"/>
        <v> BBS 102 </v>
      </c>
      <c r="B15" s="6" t="str">
        <f t="shared" si="1"/>
        <v>I</v>
      </c>
      <c r="C15" s="13">
        <f t="shared" si="2"/>
        <v>48830.413</v>
      </c>
      <c r="D15" s="15" t="str">
        <f t="shared" si="3"/>
        <v>vis</v>
      </c>
      <c r="E15" s="70">
        <f>VLOOKUP(C15,A!C$21:E$973,3,FALSE)</f>
        <v>-2147.0210151937536</v>
      </c>
      <c r="F15" s="6" t="s">
        <v>82</v>
      </c>
      <c r="G15" s="15" t="str">
        <f t="shared" si="4"/>
        <v>48830.413</v>
      </c>
      <c r="H15" s="13">
        <f t="shared" si="5"/>
        <v>15644</v>
      </c>
      <c r="I15" s="71" t="s">
        <v>102</v>
      </c>
      <c r="J15" s="72" t="s">
        <v>103</v>
      </c>
      <c r="K15" s="71">
        <v>15644</v>
      </c>
      <c r="L15" s="71" t="s">
        <v>104</v>
      </c>
      <c r="M15" s="72" t="s">
        <v>105</v>
      </c>
      <c r="N15" s="72"/>
      <c r="O15" s="73" t="s">
        <v>106</v>
      </c>
      <c r="P15" s="73" t="s">
        <v>107</v>
      </c>
    </row>
    <row r="16" spans="1:16" ht="12.75" customHeight="1" thickBot="1">
      <c r="A16" s="13" t="str">
        <f t="shared" si="0"/>
        <v> BBS 102 </v>
      </c>
      <c r="B16" s="6" t="str">
        <f t="shared" si="1"/>
        <v>I</v>
      </c>
      <c r="C16" s="13">
        <f t="shared" si="2"/>
        <v>48862.404000000002</v>
      </c>
      <c r="D16" s="15" t="str">
        <f t="shared" si="3"/>
        <v>vis</v>
      </c>
      <c r="E16" s="70">
        <f>VLOOKUP(C16,A!C$21:E$973,3,FALSE)</f>
        <v>-2135.5174532208662</v>
      </c>
      <c r="F16" s="6" t="s">
        <v>82</v>
      </c>
      <c r="G16" s="15" t="str">
        <f t="shared" si="4"/>
        <v>48862.404</v>
      </c>
      <c r="H16" s="13">
        <f t="shared" si="5"/>
        <v>15687</v>
      </c>
      <c r="I16" s="71" t="s">
        <v>108</v>
      </c>
      <c r="J16" s="72" t="s">
        <v>109</v>
      </c>
      <c r="K16" s="71">
        <v>15687</v>
      </c>
      <c r="L16" s="71" t="s">
        <v>110</v>
      </c>
      <c r="M16" s="72" t="s">
        <v>105</v>
      </c>
      <c r="N16" s="72"/>
      <c r="O16" s="73" t="s">
        <v>106</v>
      </c>
      <c r="P16" s="73" t="s">
        <v>107</v>
      </c>
    </row>
    <row r="17" spans="1:16" ht="12.75" customHeight="1" thickBot="1">
      <c r="A17" s="13" t="str">
        <f t="shared" si="0"/>
        <v> BBS 102 </v>
      </c>
      <c r="B17" s="6" t="str">
        <f t="shared" si="1"/>
        <v>I</v>
      </c>
      <c r="C17" s="13">
        <f t="shared" si="2"/>
        <v>48868.385999999999</v>
      </c>
      <c r="D17" s="15" t="str">
        <f t="shared" si="3"/>
        <v>vis</v>
      </c>
      <c r="E17" s="70">
        <f>VLOOKUP(C17,A!C$21:E$973,3,FALSE)</f>
        <v>-2133.3664011211577</v>
      </c>
      <c r="F17" s="6" t="s">
        <v>82</v>
      </c>
      <c r="G17" s="15" t="str">
        <f t="shared" si="4"/>
        <v>48868.386</v>
      </c>
      <c r="H17" s="13">
        <f t="shared" si="5"/>
        <v>15695</v>
      </c>
      <c r="I17" s="71" t="s">
        <v>111</v>
      </c>
      <c r="J17" s="72" t="s">
        <v>112</v>
      </c>
      <c r="K17" s="71">
        <v>15695</v>
      </c>
      <c r="L17" s="71" t="s">
        <v>113</v>
      </c>
      <c r="M17" s="72" t="s">
        <v>105</v>
      </c>
      <c r="N17" s="72"/>
      <c r="O17" s="73" t="s">
        <v>106</v>
      </c>
      <c r="P17" s="73" t="s">
        <v>107</v>
      </c>
    </row>
    <row r="18" spans="1:16" ht="12.75" customHeight="1" thickBot="1">
      <c r="A18" s="13" t="str">
        <f t="shared" si="0"/>
        <v> BBS 102 </v>
      </c>
      <c r="B18" s="6" t="str">
        <f t="shared" si="1"/>
        <v>I</v>
      </c>
      <c r="C18" s="13">
        <f t="shared" si="2"/>
        <v>48871.356</v>
      </c>
      <c r="D18" s="15" t="str">
        <f t="shared" si="3"/>
        <v>vis</v>
      </c>
      <c r="E18" s="70">
        <f>VLOOKUP(C18,A!C$21:E$973,3,FALSE)</f>
        <v>-2132.2984264076604</v>
      </c>
      <c r="F18" s="6" t="s">
        <v>82</v>
      </c>
      <c r="G18" s="15" t="str">
        <f t="shared" si="4"/>
        <v>48871.356</v>
      </c>
      <c r="H18" s="13">
        <f t="shared" si="5"/>
        <v>15699</v>
      </c>
      <c r="I18" s="71" t="s">
        <v>114</v>
      </c>
      <c r="J18" s="72" t="s">
        <v>115</v>
      </c>
      <c r="K18" s="71">
        <v>15699</v>
      </c>
      <c r="L18" s="71" t="s">
        <v>116</v>
      </c>
      <c r="M18" s="72" t="s">
        <v>105</v>
      </c>
      <c r="N18" s="72"/>
      <c r="O18" s="73" t="s">
        <v>106</v>
      </c>
      <c r="P18" s="73" t="s">
        <v>107</v>
      </c>
    </row>
    <row r="19" spans="1:16" ht="12.75" customHeight="1" thickBot="1">
      <c r="A19" s="13" t="str">
        <f t="shared" si="0"/>
        <v> BBS 104 </v>
      </c>
      <c r="B19" s="6" t="str">
        <f t="shared" si="1"/>
        <v>I</v>
      </c>
      <c r="C19" s="13">
        <f t="shared" si="2"/>
        <v>49176.482000000004</v>
      </c>
      <c r="D19" s="15" t="str">
        <f t="shared" si="3"/>
        <v>vis</v>
      </c>
      <c r="E19" s="70">
        <f>VLOOKUP(C19,A!C$21:E$973,3,FALSE)</f>
        <v>-2022.5789474748613</v>
      </c>
      <c r="F19" s="6" t="s">
        <v>82</v>
      </c>
      <c r="G19" s="15" t="str">
        <f t="shared" si="4"/>
        <v>49176.482</v>
      </c>
      <c r="H19" s="13">
        <f t="shared" si="5"/>
        <v>16109</v>
      </c>
      <c r="I19" s="71" t="s">
        <v>117</v>
      </c>
      <c r="J19" s="72" t="s">
        <v>118</v>
      </c>
      <c r="K19" s="71">
        <v>16109</v>
      </c>
      <c r="L19" s="71" t="s">
        <v>119</v>
      </c>
      <c r="M19" s="72" t="s">
        <v>105</v>
      </c>
      <c r="N19" s="72"/>
      <c r="O19" s="73" t="s">
        <v>106</v>
      </c>
      <c r="P19" s="73" t="s">
        <v>120</v>
      </c>
    </row>
    <row r="20" spans="1:16" ht="12.75" customHeight="1" thickBot="1">
      <c r="A20" s="13" t="str">
        <f t="shared" si="0"/>
        <v> BBS 105 </v>
      </c>
      <c r="B20" s="6" t="str">
        <f t="shared" si="1"/>
        <v>I</v>
      </c>
      <c r="C20" s="13">
        <f t="shared" si="2"/>
        <v>49211.402000000002</v>
      </c>
      <c r="D20" s="15" t="str">
        <f t="shared" si="3"/>
        <v>vis</v>
      </c>
      <c r="E20" s="70">
        <f>VLOOKUP(C20,A!C$21:E$973,3,FALSE)</f>
        <v>-2010.0221538737487</v>
      </c>
      <c r="F20" s="6" t="s">
        <v>82</v>
      </c>
      <c r="G20" s="15" t="str">
        <f t="shared" si="4"/>
        <v>49211.402</v>
      </c>
      <c r="H20" s="13">
        <f t="shared" si="5"/>
        <v>16156</v>
      </c>
      <c r="I20" s="71" t="s">
        <v>121</v>
      </c>
      <c r="J20" s="72" t="s">
        <v>122</v>
      </c>
      <c r="K20" s="71">
        <v>16156</v>
      </c>
      <c r="L20" s="71" t="s">
        <v>123</v>
      </c>
      <c r="M20" s="72" t="s">
        <v>105</v>
      </c>
      <c r="N20" s="72"/>
      <c r="O20" s="73" t="s">
        <v>106</v>
      </c>
      <c r="P20" s="73" t="s">
        <v>124</v>
      </c>
    </row>
    <row r="21" spans="1:16" ht="12.75" customHeight="1" thickBot="1">
      <c r="A21" s="13" t="str">
        <f t="shared" si="0"/>
        <v> BBS 105 </v>
      </c>
      <c r="B21" s="6" t="str">
        <f t="shared" si="1"/>
        <v>I</v>
      </c>
      <c r="C21" s="13">
        <f t="shared" si="2"/>
        <v>49217.37</v>
      </c>
      <c r="D21" s="15" t="str">
        <f t="shared" si="3"/>
        <v>vis</v>
      </c>
      <c r="E21" s="70">
        <f>VLOOKUP(C21,A!C$21:E$973,3,FALSE)</f>
        <v>-2007.8761359982775</v>
      </c>
      <c r="F21" s="6" t="s">
        <v>82</v>
      </c>
      <c r="G21" s="15" t="str">
        <f t="shared" si="4"/>
        <v>49217.370</v>
      </c>
      <c r="H21" s="13">
        <f t="shared" si="5"/>
        <v>16164</v>
      </c>
      <c r="I21" s="71" t="s">
        <v>125</v>
      </c>
      <c r="J21" s="72" t="s">
        <v>126</v>
      </c>
      <c r="K21" s="71">
        <v>16164</v>
      </c>
      <c r="L21" s="71" t="s">
        <v>127</v>
      </c>
      <c r="M21" s="72" t="s">
        <v>105</v>
      </c>
      <c r="N21" s="72"/>
      <c r="O21" s="73" t="s">
        <v>106</v>
      </c>
      <c r="P21" s="73" t="s">
        <v>124</v>
      </c>
    </row>
    <row r="22" spans="1:16" ht="12.75" customHeight="1" thickBot="1">
      <c r="A22" s="13" t="str">
        <f t="shared" si="0"/>
        <v> BBS 105 </v>
      </c>
      <c r="B22" s="6" t="str">
        <f t="shared" si="1"/>
        <v>I</v>
      </c>
      <c r="C22" s="13">
        <f t="shared" si="2"/>
        <v>49249.381999999998</v>
      </c>
      <c r="D22" s="15" t="str">
        <f t="shared" si="3"/>
        <v>vis</v>
      </c>
      <c r="E22" s="70">
        <f>VLOOKUP(C22,A!C$21:E$973,3,FALSE)</f>
        <v>-1996.365022689034</v>
      </c>
      <c r="F22" s="6" t="s">
        <v>82</v>
      </c>
      <c r="G22" s="15" t="str">
        <f t="shared" si="4"/>
        <v>49249.382</v>
      </c>
      <c r="H22" s="13">
        <f t="shared" si="5"/>
        <v>16207</v>
      </c>
      <c r="I22" s="71" t="s">
        <v>128</v>
      </c>
      <c r="J22" s="72" t="s">
        <v>129</v>
      </c>
      <c r="K22" s="71">
        <v>16207</v>
      </c>
      <c r="L22" s="71" t="s">
        <v>130</v>
      </c>
      <c r="M22" s="72" t="s">
        <v>105</v>
      </c>
      <c r="N22" s="72"/>
      <c r="O22" s="73" t="s">
        <v>106</v>
      </c>
      <c r="P22" s="73" t="s">
        <v>124</v>
      </c>
    </row>
    <row r="23" spans="1:16" ht="12.75" customHeight="1" thickBot="1">
      <c r="A23" s="13" t="str">
        <f t="shared" si="0"/>
        <v>BAVM 141 </v>
      </c>
      <c r="B23" s="6" t="str">
        <f t="shared" si="1"/>
        <v>I</v>
      </c>
      <c r="C23" s="13">
        <f t="shared" si="2"/>
        <v>50304.393900000003</v>
      </c>
      <c r="D23" s="15" t="str">
        <f t="shared" si="3"/>
        <v>vis</v>
      </c>
      <c r="E23" s="70">
        <f>VLOOKUP(C23,A!C$21:E$973,3,FALSE)</f>
        <v>-1616.9959884674286</v>
      </c>
      <c r="F23" s="6" t="s">
        <v>82</v>
      </c>
      <c r="G23" s="15" t="str">
        <f t="shared" si="4"/>
        <v>50304.3939</v>
      </c>
      <c r="H23" s="13">
        <f t="shared" si="5"/>
        <v>17625</v>
      </c>
      <c r="I23" s="71" t="s">
        <v>131</v>
      </c>
      <c r="J23" s="72" t="s">
        <v>132</v>
      </c>
      <c r="K23" s="71">
        <v>17625</v>
      </c>
      <c r="L23" s="71" t="s">
        <v>133</v>
      </c>
      <c r="M23" s="72" t="s">
        <v>134</v>
      </c>
      <c r="N23" s="72" t="s">
        <v>135</v>
      </c>
      <c r="O23" s="73" t="s">
        <v>136</v>
      </c>
      <c r="P23" s="74" t="s">
        <v>101</v>
      </c>
    </row>
    <row r="24" spans="1:16" ht="12.75" customHeight="1" thickBot="1">
      <c r="A24" s="13" t="str">
        <f t="shared" si="0"/>
        <v>BAVM 141 </v>
      </c>
      <c r="B24" s="6" t="str">
        <f t="shared" si="1"/>
        <v>I</v>
      </c>
      <c r="C24" s="13">
        <f t="shared" si="2"/>
        <v>50315.5124</v>
      </c>
      <c r="D24" s="15" t="str">
        <f t="shared" si="3"/>
        <v>vis</v>
      </c>
      <c r="E24" s="70">
        <f>VLOOKUP(C24,A!C$21:E$973,3,FALSE)</f>
        <v>-1612.9979154532837</v>
      </c>
      <c r="F24" s="6" t="s">
        <v>82</v>
      </c>
      <c r="G24" s="15" t="str">
        <f t="shared" si="4"/>
        <v>50315.5124</v>
      </c>
      <c r="H24" s="13">
        <f t="shared" si="5"/>
        <v>17640</v>
      </c>
      <c r="I24" s="71" t="s">
        <v>137</v>
      </c>
      <c r="J24" s="72" t="s">
        <v>138</v>
      </c>
      <c r="K24" s="71">
        <v>17640</v>
      </c>
      <c r="L24" s="71" t="s">
        <v>139</v>
      </c>
      <c r="M24" s="72" t="s">
        <v>134</v>
      </c>
      <c r="N24" s="72" t="s">
        <v>135</v>
      </c>
      <c r="O24" s="73" t="s">
        <v>136</v>
      </c>
      <c r="P24" s="74" t="s">
        <v>101</v>
      </c>
    </row>
    <row r="25" spans="1:16" ht="12.75" customHeight="1" thickBot="1">
      <c r="A25" s="13" t="str">
        <f t="shared" si="0"/>
        <v>BAVM 141 </v>
      </c>
      <c r="B25" s="6" t="str">
        <f t="shared" si="1"/>
        <v>II</v>
      </c>
      <c r="C25" s="13">
        <f t="shared" si="2"/>
        <v>50361.394800000002</v>
      </c>
      <c r="D25" s="15" t="str">
        <f t="shared" si="3"/>
        <v>vis</v>
      </c>
      <c r="E25" s="70">
        <f>VLOOKUP(C25,A!C$21:E$973,3,FALSE)</f>
        <v>-1596.4991804382851</v>
      </c>
      <c r="F25" s="6" t="s">
        <v>82</v>
      </c>
      <c r="G25" s="15" t="str">
        <f t="shared" si="4"/>
        <v>50361.3948</v>
      </c>
      <c r="H25" s="13">
        <f t="shared" si="5"/>
        <v>17701.5</v>
      </c>
      <c r="I25" s="71" t="s">
        <v>140</v>
      </c>
      <c r="J25" s="72" t="s">
        <v>141</v>
      </c>
      <c r="K25" s="71">
        <v>17701.5</v>
      </c>
      <c r="L25" s="71" t="s">
        <v>142</v>
      </c>
      <c r="M25" s="72" t="s">
        <v>134</v>
      </c>
      <c r="N25" s="72" t="s">
        <v>135</v>
      </c>
      <c r="O25" s="73" t="s">
        <v>100</v>
      </c>
      <c r="P25" s="74" t="s">
        <v>101</v>
      </c>
    </row>
    <row r="26" spans="1:16" ht="12.75" customHeight="1" thickBot="1">
      <c r="A26" s="13" t="str">
        <f t="shared" si="0"/>
        <v>BAVM 141 </v>
      </c>
      <c r="B26" s="6" t="str">
        <f t="shared" si="1"/>
        <v>I</v>
      </c>
      <c r="C26" s="13">
        <f t="shared" si="2"/>
        <v>50396.193700000003</v>
      </c>
      <c r="D26" s="15" t="str">
        <f t="shared" si="3"/>
        <v>vis</v>
      </c>
      <c r="E26" s="70">
        <f>VLOOKUP(C26,A!C$21:E$973,3,FALSE)</f>
        <v>-1583.9859328768359</v>
      </c>
      <c r="F26" s="6" t="s">
        <v>82</v>
      </c>
      <c r="G26" s="15" t="str">
        <f t="shared" si="4"/>
        <v>50396.1937</v>
      </c>
      <c r="H26" s="13">
        <f t="shared" si="5"/>
        <v>17748</v>
      </c>
      <c r="I26" s="71" t="s">
        <v>143</v>
      </c>
      <c r="J26" s="72" t="s">
        <v>144</v>
      </c>
      <c r="K26" s="71">
        <v>17748</v>
      </c>
      <c r="L26" s="71" t="s">
        <v>145</v>
      </c>
      <c r="M26" s="72" t="s">
        <v>88</v>
      </c>
      <c r="N26" s="72"/>
      <c r="O26" s="73" t="s">
        <v>100</v>
      </c>
      <c r="P26" s="74" t="s">
        <v>101</v>
      </c>
    </row>
    <row r="27" spans="1:16" ht="12.75" customHeight="1" thickBot="1">
      <c r="A27" s="13" t="str">
        <f t="shared" si="0"/>
        <v>BAVM 141 </v>
      </c>
      <c r="B27" s="6" t="str">
        <f t="shared" si="1"/>
        <v>II</v>
      </c>
      <c r="C27" s="13">
        <f t="shared" si="2"/>
        <v>50582.4853</v>
      </c>
      <c r="D27" s="15" t="str">
        <f t="shared" si="3"/>
        <v>vis</v>
      </c>
      <c r="E27" s="70">
        <f>VLOOKUP(C27,A!C$21:E$973,3,FALSE)</f>
        <v>-1516.9978122920388</v>
      </c>
      <c r="F27" s="6" t="s">
        <v>82</v>
      </c>
      <c r="G27" s="15" t="str">
        <f t="shared" si="4"/>
        <v>50582.4853</v>
      </c>
      <c r="H27" s="13">
        <f t="shared" si="5"/>
        <v>17998.5</v>
      </c>
      <c r="I27" s="71" t="s">
        <v>146</v>
      </c>
      <c r="J27" s="72" t="s">
        <v>147</v>
      </c>
      <c r="K27" s="71">
        <v>17998.5</v>
      </c>
      <c r="L27" s="71" t="s">
        <v>148</v>
      </c>
      <c r="M27" s="72" t="s">
        <v>134</v>
      </c>
      <c r="N27" s="72" t="s">
        <v>135</v>
      </c>
      <c r="O27" s="73" t="s">
        <v>100</v>
      </c>
      <c r="P27" s="74" t="s">
        <v>101</v>
      </c>
    </row>
    <row r="28" spans="1:16" ht="12.75" customHeight="1" thickBot="1">
      <c r="A28" s="13" t="str">
        <f t="shared" si="0"/>
        <v>BAVM 141 </v>
      </c>
      <c r="B28" s="6" t="str">
        <f t="shared" si="1"/>
        <v>I</v>
      </c>
      <c r="C28" s="13">
        <f t="shared" si="2"/>
        <v>50671.478000000003</v>
      </c>
      <c r="D28" s="15" t="str">
        <f t="shared" si="3"/>
        <v>vis</v>
      </c>
      <c r="E28" s="70">
        <f>VLOOKUP(C28,A!C$21:E$973,3,FALSE)</f>
        <v>-1484.9971546200504</v>
      </c>
      <c r="F28" s="6" t="s">
        <v>82</v>
      </c>
      <c r="G28" s="15" t="str">
        <f t="shared" si="4"/>
        <v>50671.4780</v>
      </c>
      <c r="H28" s="13">
        <f t="shared" si="5"/>
        <v>18118</v>
      </c>
      <c r="I28" s="71" t="s">
        <v>149</v>
      </c>
      <c r="J28" s="72" t="s">
        <v>150</v>
      </c>
      <c r="K28" s="71">
        <v>18118</v>
      </c>
      <c r="L28" s="71" t="s">
        <v>151</v>
      </c>
      <c r="M28" s="72" t="s">
        <v>134</v>
      </c>
      <c r="N28" s="72" t="s">
        <v>135</v>
      </c>
      <c r="O28" s="73" t="s">
        <v>136</v>
      </c>
      <c r="P28" s="74" t="s">
        <v>101</v>
      </c>
    </row>
    <row r="29" spans="1:16" ht="12.75" customHeight="1" thickBot="1">
      <c r="A29" s="13" t="str">
        <f t="shared" si="0"/>
        <v>BAVM 141 </v>
      </c>
      <c r="B29" s="6" t="str">
        <f t="shared" si="1"/>
        <v>II</v>
      </c>
      <c r="C29" s="13">
        <f t="shared" si="2"/>
        <v>50696.503799999999</v>
      </c>
      <c r="D29" s="15" t="str">
        <f t="shared" si="3"/>
        <v>vis</v>
      </c>
      <c r="E29" s="70">
        <f>VLOOKUP(C29,A!C$21:E$973,3,FALSE)</f>
        <v>-1475.9981911234099</v>
      </c>
      <c r="F29" s="6" t="s">
        <v>82</v>
      </c>
      <c r="G29" s="15" t="str">
        <f t="shared" si="4"/>
        <v>50696.5038</v>
      </c>
      <c r="H29" s="13">
        <f t="shared" si="5"/>
        <v>18151.5</v>
      </c>
      <c r="I29" s="71" t="s">
        <v>152</v>
      </c>
      <c r="J29" s="72" t="s">
        <v>153</v>
      </c>
      <c r="K29" s="71">
        <v>18151.5</v>
      </c>
      <c r="L29" s="71" t="s">
        <v>154</v>
      </c>
      <c r="M29" s="72" t="s">
        <v>134</v>
      </c>
      <c r="N29" s="72" t="s">
        <v>135</v>
      </c>
      <c r="O29" s="73" t="s">
        <v>136</v>
      </c>
      <c r="P29" s="74" t="s">
        <v>101</v>
      </c>
    </row>
    <row r="30" spans="1:16" ht="12.75" customHeight="1" thickBot="1">
      <c r="A30" s="13" t="str">
        <f t="shared" si="0"/>
        <v>BAVM 141 </v>
      </c>
      <c r="B30" s="6" t="str">
        <f t="shared" si="1"/>
        <v>II</v>
      </c>
      <c r="C30" s="13">
        <f t="shared" si="2"/>
        <v>50717.366099999999</v>
      </c>
      <c r="D30" s="15" t="str">
        <f t="shared" si="3"/>
        <v>vis</v>
      </c>
      <c r="E30" s="70">
        <f>VLOOKUP(C30,A!C$21:E$973,3,FALSE)</f>
        <v>-1468.496369956614</v>
      </c>
      <c r="F30" s="6" t="s">
        <v>82</v>
      </c>
      <c r="G30" s="15" t="str">
        <f t="shared" si="4"/>
        <v>50717.3661</v>
      </c>
      <c r="H30" s="13">
        <f t="shared" si="5"/>
        <v>18179.5</v>
      </c>
      <c r="I30" s="71" t="s">
        <v>155</v>
      </c>
      <c r="J30" s="72" t="s">
        <v>156</v>
      </c>
      <c r="K30" s="71">
        <v>18179.5</v>
      </c>
      <c r="L30" s="71" t="s">
        <v>157</v>
      </c>
      <c r="M30" s="72" t="s">
        <v>134</v>
      </c>
      <c r="N30" s="72" t="s">
        <v>135</v>
      </c>
      <c r="O30" s="73" t="s">
        <v>100</v>
      </c>
      <c r="P30" s="74" t="s">
        <v>101</v>
      </c>
    </row>
    <row r="31" spans="1:16" ht="12.75" customHeight="1" thickBot="1">
      <c r="A31" s="13" t="str">
        <f t="shared" si="0"/>
        <v>BAVM 141 </v>
      </c>
      <c r="B31" s="6" t="str">
        <f t="shared" si="1"/>
        <v>II</v>
      </c>
      <c r="C31" s="13">
        <f t="shared" si="2"/>
        <v>50749.345500000003</v>
      </c>
      <c r="D31" s="15" t="str">
        <f t="shared" si="3"/>
        <v>vis</v>
      </c>
      <c r="E31" s="70">
        <f>VLOOKUP(C31,A!C$21:E$973,3,FALSE)</f>
        <v>-1456.9969791980948</v>
      </c>
      <c r="F31" s="6" t="s">
        <v>82</v>
      </c>
      <c r="G31" s="15" t="str">
        <f t="shared" si="4"/>
        <v>50749.3455</v>
      </c>
      <c r="H31" s="13">
        <f t="shared" si="5"/>
        <v>18222.5</v>
      </c>
      <c r="I31" s="71" t="s">
        <v>158</v>
      </c>
      <c r="J31" s="72" t="s">
        <v>159</v>
      </c>
      <c r="K31" s="71">
        <v>18222.5</v>
      </c>
      <c r="L31" s="71" t="s">
        <v>160</v>
      </c>
      <c r="M31" s="72" t="s">
        <v>134</v>
      </c>
      <c r="N31" s="72" t="s">
        <v>135</v>
      </c>
      <c r="O31" s="73" t="s">
        <v>100</v>
      </c>
      <c r="P31" s="74" t="s">
        <v>101</v>
      </c>
    </row>
    <row r="32" spans="1:16" ht="12.75" customHeight="1" thickBot="1">
      <c r="A32" s="13" t="str">
        <f t="shared" si="0"/>
        <v>BAVM 141 </v>
      </c>
      <c r="B32" s="6" t="str">
        <f t="shared" si="1"/>
        <v>II</v>
      </c>
      <c r="C32" s="13">
        <f t="shared" si="2"/>
        <v>51045.515700000004</v>
      </c>
      <c r="D32" s="15" t="str">
        <f t="shared" si="3"/>
        <v>vis</v>
      </c>
      <c r="E32" s="70">
        <f>VLOOKUP(C32,A!C$21:E$973,3,FALSE)</f>
        <v>-1350.4978935107963</v>
      </c>
      <c r="F32" s="6" t="s">
        <v>82</v>
      </c>
      <c r="G32" s="15" t="str">
        <f t="shared" si="4"/>
        <v>51045.5157</v>
      </c>
      <c r="H32" s="13">
        <f t="shared" si="5"/>
        <v>18620.5</v>
      </c>
      <c r="I32" s="71" t="s">
        <v>161</v>
      </c>
      <c r="J32" s="72" t="s">
        <v>162</v>
      </c>
      <c r="K32" s="71">
        <v>18620.5</v>
      </c>
      <c r="L32" s="71" t="s">
        <v>163</v>
      </c>
      <c r="M32" s="72" t="s">
        <v>134</v>
      </c>
      <c r="N32" s="72" t="s">
        <v>135</v>
      </c>
      <c r="O32" s="73" t="s">
        <v>100</v>
      </c>
      <c r="P32" s="74" t="s">
        <v>101</v>
      </c>
    </row>
    <row r="33" spans="1:16" ht="12.75" customHeight="1" thickBot="1">
      <c r="A33" s="13" t="str">
        <f t="shared" si="0"/>
        <v>BAVM 141 </v>
      </c>
      <c r="B33" s="6" t="str">
        <f t="shared" si="1"/>
        <v>II</v>
      </c>
      <c r="C33" s="13">
        <f t="shared" si="2"/>
        <v>51045.518700000001</v>
      </c>
      <c r="D33" s="15" t="str">
        <f t="shared" si="3"/>
        <v>vis</v>
      </c>
      <c r="E33" s="70">
        <f>VLOOKUP(C33,A!C$21:E$973,3,FALSE)</f>
        <v>-1350.4968147484606</v>
      </c>
      <c r="F33" s="6" t="s">
        <v>82</v>
      </c>
      <c r="G33" s="15" t="str">
        <f t="shared" si="4"/>
        <v>51045.5187</v>
      </c>
      <c r="H33" s="13">
        <f t="shared" si="5"/>
        <v>18620.5</v>
      </c>
      <c r="I33" s="71" t="s">
        <v>164</v>
      </c>
      <c r="J33" s="72" t="s">
        <v>165</v>
      </c>
      <c r="K33" s="71">
        <v>18620.5</v>
      </c>
      <c r="L33" s="71" t="s">
        <v>166</v>
      </c>
      <c r="M33" s="72" t="s">
        <v>134</v>
      </c>
      <c r="N33" s="72" t="s">
        <v>135</v>
      </c>
      <c r="O33" s="73" t="s">
        <v>167</v>
      </c>
      <c r="P33" s="74" t="s">
        <v>101</v>
      </c>
    </row>
    <row r="34" spans="1:16" ht="12.75" customHeight="1" thickBot="1">
      <c r="A34" s="13" t="str">
        <f t="shared" si="0"/>
        <v>BAVM 141 </v>
      </c>
      <c r="B34" s="6" t="str">
        <f t="shared" si="1"/>
        <v>I</v>
      </c>
      <c r="C34" s="13">
        <f t="shared" si="2"/>
        <v>51376.453999999998</v>
      </c>
      <c r="D34" s="15" t="str">
        <f t="shared" si="3"/>
        <v>vis</v>
      </c>
      <c r="E34" s="70">
        <f>VLOOKUP(C34,A!C$21:E$973,3,FALSE)</f>
        <v>-1231.496635555377</v>
      </c>
      <c r="F34" s="6" t="s">
        <v>82</v>
      </c>
      <c r="G34" s="15" t="str">
        <f t="shared" si="4"/>
        <v>51376.4540</v>
      </c>
      <c r="H34" s="13">
        <f t="shared" si="5"/>
        <v>19065</v>
      </c>
      <c r="I34" s="71" t="s">
        <v>168</v>
      </c>
      <c r="J34" s="72" t="s">
        <v>169</v>
      </c>
      <c r="K34" s="71">
        <v>19065</v>
      </c>
      <c r="L34" s="71" t="s">
        <v>170</v>
      </c>
      <c r="M34" s="72" t="s">
        <v>134</v>
      </c>
      <c r="N34" s="72" t="s">
        <v>135</v>
      </c>
      <c r="O34" s="73" t="s">
        <v>100</v>
      </c>
      <c r="P34" s="74" t="s">
        <v>101</v>
      </c>
    </row>
    <row r="35" spans="1:16" ht="12.75" customHeight="1" thickBot="1">
      <c r="A35" s="13" t="str">
        <f t="shared" si="0"/>
        <v>BAVM 141 </v>
      </c>
      <c r="B35" s="6" t="str">
        <f t="shared" si="1"/>
        <v>II</v>
      </c>
      <c r="C35" s="13">
        <f t="shared" si="2"/>
        <v>51426.506099999999</v>
      </c>
      <c r="D35" s="15" t="str">
        <f t="shared" si="3"/>
        <v>vis</v>
      </c>
      <c r="E35" s="70">
        <f>VLOOKUP(C35,A!C$21:E$973,3,FALSE)</f>
        <v>-1213.4985287683696</v>
      </c>
      <c r="F35" s="6" t="s">
        <v>82</v>
      </c>
      <c r="G35" s="15" t="str">
        <f t="shared" si="4"/>
        <v>51426.5061</v>
      </c>
      <c r="H35" s="13">
        <f t="shared" si="5"/>
        <v>19132.5</v>
      </c>
      <c r="I35" s="71" t="s">
        <v>171</v>
      </c>
      <c r="J35" s="72" t="s">
        <v>172</v>
      </c>
      <c r="K35" s="71">
        <v>19132.5</v>
      </c>
      <c r="L35" s="71" t="s">
        <v>173</v>
      </c>
      <c r="M35" s="72" t="s">
        <v>134</v>
      </c>
      <c r="N35" s="72" t="s">
        <v>135</v>
      </c>
      <c r="O35" s="73" t="s">
        <v>100</v>
      </c>
      <c r="P35" s="74" t="s">
        <v>101</v>
      </c>
    </row>
    <row r="36" spans="1:16" ht="12.75" customHeight="1" thickBot="1">
      <c r="A36" s="13" t="str">
        <f t="shared" si="0"/>
        <v>BAVM 141 </v>
      </c>
      <c r="B36" s="6" t="str">
        <f t="shared" si="1"/>
        <v>I</v>
      </c>
      <c r="C36" s="13">
        <f t="shared" si="2"/>
        <v>51433.461000000003</v>
      </c>
      <c r="D36" s="15" t="str">
        <f t="shared" si="3"/>
        <v>vis</v>
      </c>
      <c r="E36" s="70">
        <f>VLOOKUP(C36,A!C$21:E$973,3,FALSE)</f>
        <v>-1210.9976340428132</v>
      </c>
      <c r="F36" s="6" t="s">
        <v>82</v>
      </c>
      <c r="G36" s="15" t="str">
        <f t="shared" si="4"/>
        <v>51433.4610</v>
      </c>
      <c r="H36" s="13">
        <f t="shared" si="5"/>
        <v>19142</v>
      </c>
      <c r="I36" s="71" t="s">
        <v>174</v>
      </c>
      <c r="J36" s="72" t="s">
        <v>175</v>
      </c>
      <c r="K36" s="71">
        <v>19142</v>
      </c>
      <c r="L36" s="71" t="s">
        <v>176</v>
      </c>
      <c r="M36" s="72" t="s">
        <v>134</v>
      </c>
      <c r="N36" s="72" t="s">
        <v>135</v>
      </c>
      <c r="O36" s="73" t="s">
        <v>100</v>
      </c>
      <c r="P36" s="74" t="s">
        <v>101</v>
      </c>
    </row>
    <row r="37" spans="1:16" ht="12.75" customHeight="1" thickBot="1">
      <c r="A37" s="13" t="str">
        <f t="shared" si="0"/>
        <v>OEJV 0074 </v>
      </c>
      <c r="B37" s="6" t="str">
        <f t="shared" si="1"/>
        <v>II</v>
      </c>
      <c r="C37" s="13">
        <f t="shared" si="2"/>
        <v>52487.447399999997</v>
      </c>
      <c r="D37" s="15" t="str">
        <f t="shared" si="3"/>
        <v>vis</v>
      </c>
      <c r="E37" s="70">
        <f>VLOOKUP(C37,A!C$21:E$973,3,FALSE)</f>
        <v>-831.99735674669648</v>
      </c>
      <c r="F37" s="6" t="s">
        <v>82</v>
      </c>
      <c r="G37" s="15" t="str">
        <f t="shared" si="4"/>
        <v>52487.44740</v>
      </c>
      <c r="H37" s="13">
        <f t="shared" si="5"/>
        <v>20558.5</v>
      </c>
      <c r="I37" s="71" t="s">
        <v>177</v>
      </c>
      <c r="J37" s="72" t="s">
        <v>178</v>
      </c>
      <c r="K37" s="71">
        <v>20558.5</v>
      </c>
      <c r="L37" s="71" t="s">
        <v>179</v>
      </c>
      <c r="M37" s="72" t="s">
        <v>180</v>
      </c>
      <c r="N37" s="72" t="s">
        <v>135</v>
      </c>
      <c r="O37" s="73" t="s">
        <v>181</v>
      </c>
      <c r="P37" s="74" t="s">
        <v>182</v>
      </c>
    </row>
    <row r="38" spans="1:16" ht="12.75" customHeight="1" thickBot="1">
      <c r="A38" s="13" t="str">
        <f t="shared" si="0"/>
        <v>BAVM 172 </v>
      </c>
      <c r="B38" s="6" t="str">
        <f t="shared" si="1"/>
        <v>I</v>
      </c>
      <c r="C38" s="13">
        <f t="shared" si="2"/>
        <v>52694.623299999999</v>
      </c>
      <c r="D38" s="15" t="str">
        <f t="shared" si="3"/>
        <v>vis</v>
      </c>
      <c r="E38" s="70">
        <f>VLOOKUP(C38,A!C$21:E$973,3,FALSE)</f>
        <v>-757.49950407129802</v>
      </c>
      <c r="F38" s="6" t="s">
        <v>82</v>
      </c>
      <c r="G38" s="15" t="str">
        <f t="shared" si="4"/>
        <v>52694.6233</v>
      </c>
      <c r="H38" s="13">
        <f t="shared" si="5"/>
        <v>20837</v>
      </c>
      <c r="I38" s="71" t="s">
        <v>183</v>
      </c>
      <c r="J38" s="72" t="s">
        <v>184</v>
      </c>
      <c r="K38" s="71">
        <v>20837</v>
      </c>
      <c r="L38" s="71" t="s">
        <v>185</v>
      </c>
      <c r="M38" s="72" t="s">
        <v>134</v>
      </c>
      <c r="N38" s="72" t="s">
        <v>135</v>
      </c>
      <c r="O38" s="73" t="s">
        <v>186</v>
      </c>
      <c r="P38" s="74" t="s">
        <v>187</v>
      </c>
    </row>
    <row r="39" spans="1:16" ht="12.75" customHeight="1" thickBot="1">
      <c r="A39" s="13" t="str">
        <f t="shared" si="0"/>
        <v>BAVM 172 </v>
      </c>
      <c r="B39" s="6" t="str">
        <f t="shared" si="1"/>
        <v>II</v>
      </c>
      <c r="C39" s="13">
        <f t="shared" si="2"/>
        <v>52804.476000000002</v>
      </c>
      <c r="D39" s="15" t="str">
        <f t="shared" si="3"/>
        <v>vis</v>
      </c>
      <c r="E39" s="70">
        <f>VLOOKUP(C39,A!C$21:E$973,3,FALSE)</f>
        <v>-717.99785228363874</v>
      </c>
      <c r="F39" s="6" t="s">
        <v>82</v>
      </c>
      <c r="G39" s="15" t="str">
        <f t="shared" si="4"/>
        <v>52804.4760</v>
      </c>
      <c r="H39" s="13">
        <f t="shared" si="5"/>
        <v>20984.5</v>
      </c>
      <c r="I39" s="71" t="s">
        <v>188</v>
      </c>
      <c r="J39" s="72" t="s">
        <v>189</v>
      </c>
      <c r="K39" s="71">
        <v>20984.5</v>
      </c>
      <c r="L39" s="71" t="s">
        <v>190</v>
      </c>
      <c r="M39" s="72" t="s">
        <v>134</v>
      </c>
      <c r="N39" s="72" t="s">
        <v>135</v>
      </c>
      <c r="O39" s="73" t="s">
        <v>186</v>
      </c>
      <c r="P39" s="74" t="s">
        <v>187</v>
      </c>
    </row>
    <row r="40" spans="1:16" ht="12.75" customHeight="1" thickBot="1">
      <c r="A40" s="13" t="str">
        <f t="shared" si="0"/>
        <v> BBS 130 </v>
      </c>
      <c r="B40" s="6" t="str">
        <f t="shared" si="1"/>
        <v>I</v>
      </c>
      <c r="C40" s="13">
        <f t="shared" si="2"/>
        <v>52907.370999999999</v>
      </c>
      <c r="D40" s="15" t="str">
        <f t="shared" si="3"/>
        <v>vis</v>
      </c>
      <c r="E40" s="70">
        <f>VLOOKUP(C40,A!C$21:E$973,3,FALSE)</f>
        <v>-680.9981020663846</v>
      </c>
      <c r="F40" s="6" t="s">
        <v>82</v>
      </c>
      <c r="G40" s="15" t="str">
        <f t="shared" si="4"/>
        <v>52907.371</v>
      </c>
      <c r="H40" s="13">
        <f t="shared" si="5"/>
        <v>21123</v>
      </c>
      <c r="I40" s="71" t="s">
        <v>191</v>
      </c>
      <c r="J40" s="72" t="s">
        <v>192</v>
      </c>
      <c r="K40" s="71">
        <v>21123</v>
      </c>
      <c r="L40" s="71" t="s">
        <v>193</v>
      </c>
      <c r="M40" s="72" t="s">
        <v>105</v>
      </c>
      <c r="N40" s="72"/>
      <c r="O40" s="73" t="s">
        <v>194</v>
      </c>
      <c r="P40" s="73" t="s">
        <v>195</v>
      </c>
    </row>
    <row r="41" spans="1:16" ht="12.75" customHeight="1" thickBot="1">
      <c r="A41" s="13" t="str">
        <f t="shared" si="0"/>
        <v>IBVS 5713 </v>
      </c>
      <c r="B41" s="6" t="str">
        <f t="shared" si="1"/>
        <v>II</v>
      </c>
      <c r="C41" s="13">
        <f t="shared" si="2"/>
        <v>53566.463400000001</v>
      </c>
      <c r="D41" s="15" t="str">
        <f t="shared" si="3"/>
        <v>vis</v>
      </c>
      <c r="E41" s="70">
        <f>VLOOKUP(C41,A!C$21:E$973,3,FALSE)</f>
        <v>-443.99674952164133</v>
      </c>
      <c r="F41" s="6" t="s">
        <v>82</v>
      </c>
      <c r="G41" s="15" t="str">
        <f t="shared" si="4"/>
        <v>53566.4634</v>
      </c>
      <c r="H41" s="13">
        <f t="shared" si="5"/>
        <v>22008.5</v>
      </c>
      <c r="I41" s="71" t="s">
        <v>196</v>
      </c>
      <c r="J41" s="72" t="s">
        <v>197</v>
      </c>
      <c r="K41" s="71">
        <v>22008.5</v>
      </c>
      <c r="L41" s="71" t="s">
        <v>198</v>
      </c>
      <c r="M41" s="72" t="s">
        <v>134</v>
      </c>
      <c r="N41" s="72" t="s">
        <v>199</v>
      </c>
      <c r="O41" s="73" t="s">
        <v>200</v>
      </c>
      <c r="P41" s="74" t="s">
        <v>201</v>
      </c>
    </row>
    <row r="42" spans="1:16" ht="12.75" customHeight="1" thickBot="1">
      <c r="A42" s="13" t="str">
        <f t="shared" si="0"/>
        <v>BAVM 203 </v>
      </c>
      <c r="B42" s="6" t="str">
        <f t="shared" si="1"/>
        <v>II</v>
      </c>
      <c r="C42" s="13">
        <f t="shared" si="2"/>
        <v>54720.555</v>
      </c>
      <c r="D42" s="15" t="str">
        <f t="shared" si="3"/>
        <v>vis</v>
      </c>
      <c r="E42" s="70">
        <f>VLOOKUP(C42,A!C$21:E$973,3,FALSE)</f>
        <v>-28.999899064063246</v>
      </c>
      <c r="F42" s="6" t="s">
        <v>82</v>
      </c>
      <c r="G42" s="15" t="str">
        <f t="shared" si="4"/>
        <v>54720.555</v>
      </c>
      <c r="H42" s="13">
        <f t="shared" si="5"/>
        <v>23559.5</v>
      </c>
      <c r="I42" s="71" t="s">
        <v>202</v>
      </c>
      <c r="J42" s="72" t="s">
        <v>203</v>
      </c>
      <c r="K42" s="71">
        <v>23559.5</v>
      </c>
      <c r="L42" s="71" t="s">
        <v>204</v>
      </c>
      <c r="M42" s="72" t="s">
        <v>180</v>
      </c>
      <c r="N42" s="72" t="s">
        <v>135</v>
      </c>
      <c r="O42" s="73" t="s">
        <v>205</v>
      </c>
      <c r="P42" s="74" t="s">
        <v>206</v>
      </c>
    </row>
    <row r="43" spans="1:16" ht="12.75" customHeight="1" thickBot="1">
      <c r="A43" s="13" t="str">
        <f t="shared" si="0"/>
        <v>BAVM 214 </v>
      </c>
      <c r="B43" s="6" t="str">
        <f t="shared" si="1"/>
        <v>II</v>
      </c>
      <c r="C43" s="13">
        <f t="shared" si="2"/>
        <v>55304.563199999997</v>
      </c>
      <c r="D43" s="15" t="str">
        <f t="shared" si="3"/>
        <v>vis</v>
      </c>
      <c r="E43" s="70">
        <f>VLOOKUP(C43,A!C$21:E$973,3,FALSE)</f>
        <v>181.00211779612184</v>
      </c>
      <c r="F43" s="6" t="s">
        <v>82</v>
      </c>
      <c r="G43" s="15" t="str">
        <f t="shared" si="4"/>
        <v>55304.5632</v>
      </c>
      <c r="H43" s="13">
        <f t="shared" si="5"/>
        <v>24344.5</v>
      </c>
      <c r="I43" s="71" t="s">
        <v>207</v>
      </c>
      <c r="J43" s="72" t="s">
        <v>208</v>
      </c>
      <c r="K43" s="71">
        <v>24344.5</v>
      </c>
      <c r="L43" s="71" t="s">
        <v>209</v>
      </c>
      <c r="M43" s="72" t="s">
        <v>180</v>
      </c>
      <c r="N43" s="72" t="s">
        <v>135</v>
      </c>
      <c r="O43" s="73" t="s">
        <v>210</v>
      </c>
      <c r="P43" s="74" t="s">
        <v>211</v>
      </c>
    </row>
    <row r="44" spans="1:16" ht="12.75" customHeight="1" thickBot="1">
      <c r="A44" s="13" t="str">
        <f t="shared" si="0"/>
        <v>BAVM 220 </v>
      </c>
      <c r="B44" s="6" t="str">
        <f t="shared" si="1"/>
        <v>I</v>
      </c>
      <c r="C44" s="13">
        <f t="shared" si="2"/>
        <v>55660.527300000002</v>
      </c>
      <c r="D44" s="15" t="str">
        <f t="shared" si="3"/>
        <v>vis</v>
      </c>
      <c r="E44" s="70">
        <f>VLOOKUP(C44,A!C$21:E$973,3,FALSE)</f>
        <v>309.00233924818713</v>
      </c>
      <c r="F44" s="6" t="s">
        <v>82</v>
      </c>
      <c r="G44" s="15" t="str">
        <f t="shared" si="4"/>
        <v>55660.5273</v>
      </c>
      <c r="H44" s="13">
        <f t="shared" si="5"/>
        <v>24823</v>
      </c>
      <c r="I44" s="71" t="s">
        <v>212</v>
      </c>
      <c r="J44" s="72" t="s">
        <v>213</v>
      </c>
      <c r="K44" s="71">
        <v>24823</v>
      </c>
      <c r="L44" s="71" t="s">
        <v>214</v>
      </c>
      <c r="M44" s="72" t="s">
        <v>180</v>
      </c>
      <c r="N44" s="72" t="s">
        <v>135</v>
      </c>
      <c r="O44" s="73" t="s">
        <v>210</v>
      </c>
      <c r="P44" s="74" t="s">
        <v>215</v>
      </c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</sheetData>
  <phoneticPr fontId="7" type="noConversion"/>
  <hyperlinks>
    <hyperlink ref="P14" r:id="rId1" display="http://www.bav-astro.de/sfs/BAVM_link.php?BAVMnr=141"/>
    <hyperlink ref="P23" r:id="rId2" display="http://www.bav-astro.de/sfs/BAVM_link.php?BAVMnr=141"/>
    <hyperlink ref="P24" r:id="rId3" display="http://www.bav-astro.de/sfs/BAVM_link.php?BAVMnr=141"/>
    <hyperlink ref="P25" r:id="rId4" display="http://www.bav-astro.de/sfs/BAVM_link.php?BAVMnr=141"/>
    <hyperlink ref="P26" r:id="rId5" display="http://www.bav-astro.de/sfs/BAVM_link.php?BAVMnr=141"/>
    <hyperlink ref="P27" r:id="rId6" display="http://www.bav-astro.de/sfs/BAVM_link.php?BAVMnr=141"/>
    <hyperlink ref="P28" r:id="rId7" display="http://www.bav-astro.de/sfs/BAVM_link.php?BAVMnr=141"/>
    <hyperlink ref="P29" r:id="rId8" display="http://www.bav-astro.de/sfs/BAVM_link.php?BAVMnr=141"/>
    <hyperlink ref="P30" r:id="rId9" display="http://www.bav-astro.de/sfs/BAVM_link.php?BAVMnr=141"/>
    <hyperlink ref="P31" r:id="rId10" display="http://www.bav-astro.de/sfs/BAVM_link.php?BAVMnr=141"/>
    <hyperlink ref="P32" r:id="rId11" display="http://www.bav-astro.de/sfs/BAVM_link.php?BAVMnr=141"/>
    <hyperlink ref="P33" r:id="rId12" display="http://www.bav-astro.de/sfs/BAVM_link.php?BAVMnr=141"/>
    <hyperlink ref="P34" r:id="rId13" display="http://www.bav-astro.de/sfs/BAVM_link.php?BAVMnr=141"/>
    <hyperlink ref="P35" r:id="rId14" display="http://www.bav-astro.de/sfs/BAVM_link.php?BAVMnr=141"/>
    <hyperlink ref="P36" r:id="rId15" display="http://www.bav-astro.de/sfs/BAVM_link.php?BAVMnr=141"/>
    <hyperlink ref="P37" r:id="rId16" display="http://var.astro.cz/oejv/issues/oejv0074.pdf"/>
    <hyperlink ref="P38" r:id="rId17" display="http://www.bav-astro.de/sfs/BAVM_link.php?BAVMnr=172"/>
    <hyperlink ref="P39" r:id="rId18" display="http://www.bav-astro.de/sfs/BAVM_link.php?BAVMnr=172"/>
    <hyperlink ref="P41" r:id="rId19" display="http://www.konkoly.hu/cgi-bin/IBVS?5713"/>
    <hyperlink ref="P42" r:id="rId20" display="http://www.bav-astro.de/sfs/BAVM_link.php?BAVMnr=203"/>
    <hyperlink ref="P43" r:id="rId21" display="http://www.bav-astro.de/sfs/BAVM_link.php?BAVMnr=214"/>
    <hyperlink ref="P44" r:id="rId22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</vt:lpstr>
      <vt:lpstr>A (old)</vt:lpstr>
      <vt:lpstr>B</vt:lpstr>
      <vt:lpstr>C</vt:lpstr>
      <vt:lpstr>D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2024-02-04T03:46:33Z</dcterms:modified>
</cp:coreProperties>
</file>