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0F6C257-93E8-4871-BFB3-A7D772D40F47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Q21" i="1"/>
  <c r="F21" i="3"/>
  <c r="G21" i="3"/>
  <c r="K21" i="3"/>
  <c r="E21" i="3"/>
  <c r="E22" i="3"/>
  <c r="F22" i="3"/>
  <c r="G22" i="3"/>
  <c r="I22" i="3"/>
  <c r="E23" i="3"/>
  <c r="F23" i="3"/>
  <c r="G23" i="3"/>
  <c r="K23" i="3"/>
  <c r="E24" i="3"/>
  <c r="F24" i="3"/>
  <c r="G24" i="3"/>
  <c r="K24" i="3"/>
  <c r="E25" i="3"/>
  <c r="F25" i="3"/>
  <c r="G25" i="3"/>
  <c r="K25" i="3"/>
  <c r="E26" i="3"/>
  <c r="F26" i="3"/>
  <c r="G26" i="3"/>
  <c r="K26" i="3"/>
  <c r="Q21" i="3"/>
  <c r="D9" i="3"/>
  <c r="E9" i="3"/>
  <c r="F16" i="3"/>
  <c r="F17" i="3" s="1"/>
  <c r="C17" i="3"/>
  <c r="A22" i="3"/>
  <c r="Q22" i="3"/>
  <c r="Q23" i="3"/>
  <c r="Q24" i="3"/>
  <c r="Q25" i="3"/>
  <c r="Q26" i="3"/>
  <c r="C8" i="1"/>
  <c r="E21" i="1"/>
  <c r="F21" i="1"/>
  <c r="G21" i="1"/>
  <c r="K21" i="1"/>
  <c r="Q24" i="1"/>
  <c r="Q25" i="1"/>
  <c r="Q26" i="1"/>
  <c r="Q23" i="1"/>
  <c r="H11" i="2"/>
  <c r="B11" i="2"/>
  <c r="G11" i="2"/>
  <c r="C11" i="2"/>
  <c r="E11" i="2"/>
  <c r="D11" i="2"/>
  <c r="A11" i="2"/>
  <c r="D9" i="1"/>
  <c r="E9" i="1"/>
  <c r="A22" i="1"/>
  <c r="F16" i="1"/>
  <c r="F17" i="1" s="1"/>
  <c r="C17" i="1"/>
  <c r="Q22" i="1"/>
  <c r="E25" i="1"/>
  <c r="F25" i="1"/>
  <c r="G25" i="1"/>
  <c r="K25" i="1"/>
  <c r="E22" i="1"/>
  <c r="F22" i="1"/>
  <c r="G22" i="1"/>
  <c r="E24" i="1"/>
  <c r="F24" i="1"/>
  <c r="G24" i="1"/>
  <c r="K24" i="1"/>
  <c r="E26" i="1"/>
  <c r="F26" i="1"/>
  <c r="G26" i="1"/>
  <c r="K26" i="1"/>
  <c r="I22" i="1"/>
  <c r="C11" i="3"/>
  <c r="C12" i="1"/>
  <c r="C11" i="1"/>
  <c r="C12" i="3"/>
  <c r="C16" i="3" l="1"/>
  <c r="D18" i="3" s="1"/>
  <c r="O26" i="1"/>
  <c r="O24" i="1"/>
  <c r="O23" i="1"/>
  <c r="O21" i="1"/>
  <c r="O22" i="1"/>
  <c r="C15" i="1"/>
  <c r="O25" i="1"/>
  <c r="C16" i="1"/>
  <c r="D18" i="1" s="1"/>
  <c r="O23" i="3"/>
  <c r="W11" i="3"/>
  <c r="W4" i="3"/>
  <c r="W14" i="3"/>
  <c r="W2" i="3"/>
  <c r="W5" i="3"/>
  <c r="O22" i="3"/>
  <c r="W12" i="3"/>
  <c r="O25" i="3"/>
  <c r="W15" i="3"/>
  <c r="W9" i="3"/>
  <c r="W7" i="3"/>
  <c r="W8" i="3"/>
  <c r="O21" i="3"/>
  <c r="W6" i="3"/>
  <c r="O26" i="3"/>
  <c r="W10" i="3"/>
  <c r="O24" i="3"/>
  <c r="W13" i="3"/>
  <c r="W3" i="3"/>
  <c r="C15" i="3"/>
  <c r="F18" i="1" l="1"/>
  <c r="F19" i="1" s="1"/>
  <c r="C18" i="1"/>
  <c r="C18" i="3"/>
  <c r="F18" i="3"/>
  <c r="F19" i="3" s="1"/>
</calcChain>
</file>

<file path=xl/sharedStrings.xml><?xml version="1.0" encoding="utf-8"?>
<sst xmlns="http://schemas.openxmlformats.org/spreadsheetml/2006/main" count="144" uniqueCount="63">
  <si>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</si>
  <si>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</si>
  <si>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</si>
  <si>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</si>
  <si>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</si>
  <si>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</si>
  <si>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</si>
  <si>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</si>
  <si>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</si>
  <si>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</si>
  <si>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</si>
  <si>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</si>
  <si>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</si>
  <si>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</si>
  <si>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</si>
  <si>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</si>
  <si>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</si>
  <si>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</si>
  <si>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</si>
  <si>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</si>
  <si>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</si>
  <si>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</si>
  <si>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</si>
  <si>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</si>
  <si>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</si>
  <si>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</si>
  <si>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</si>
  <si>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</si>
  <si>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</si>
  <si>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</si>
  <si>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</si>
  <si>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</si>
  <si>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</si>
  <si>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</si>
  <si>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</si>
  <si>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</si>
  <si>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</si>
  <si>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</si>
  <si>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</si>
  <si>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</si>
  <si>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</si>
  <si>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</si>
  <si>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</si>
  <si>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</si>
  <si>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</si>
  <si>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</si>
  <si>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</si>
  <si>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</si>
  <si>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2434901.919 </t>
  </si>
  <si>
    <t> 08.06.1954 10:03 </t>
  </si>
  <si>
    <t> -0.003 </t>
  </si>
  <si>
    <t>F </t>
  </si>
  <si>
    <t> Koch &amp; Koch </t>
  </si>
  <si>
    <t> AJ 67.462 </t>
  </si>
  <si>
    <t>V1038 Cyg</t>
  </si>
  <si>
    <t>EB</t>
  </si>
  <si>
    <t>V1038 Cyg / GSC 37669.24</t>
  </si>
  <si>
    <t>IBVS 6158</t>
  </si>
  <si>
    <t>II</t>
  </si>
  <si>
    <t>Malkov</t>
  </si>
  <si>
    <t>I</t>
  </si>
  <si>
    <t>Cycle adjustments are highly dubious</t>
  </si>
  <si>
    <t>Both files 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</si>
</sst>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8"/>
        <bgColor indexed="8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5" borderId="0" xfId="0" applyFont="1" applyFill="1" applyAlignment="1"/>
    <xf numFmtId="0" fontId="22" fillId="6" borderId="0" xfId="0" applyFont="1" applyFill="1" applyAlignment="1"/>
    <xf numFmtId="0" fontId="23" fillId="7" borderId="0" xfId="0" applyFont="1" applyFill="1" applyAlignment="1">
      <alignment horizontal="left"/>
    </xf>
    <xf numFmtId="0" fontId="0" fillId="7" borderId="0" xfId="0" applyFill="1" applyAlignment="1"/>
    <xf numFmtId="0" fontId="2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V1038 Cyg - O-C Diagr.</a:t>
            </a:r>
          </a:p>
        </c:rich>
      </c:tx>
      <c:layout>
        <c:manualLayout>
          <c:xMode val="edge"/>
          <c:yMode val="edge"/>
          <c:x val="0.36849956905461112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545497589659059"/>
          <c:w val="0.82169450403866207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-2823</c:v>
                </c:pt>
                <c:pt idx="1">
                  <c:v>0</c:v>
                </c:pt>
                <c:pt idx="2">
                  <c:v>16138</c:v>
                </c:pt>
                <c:pt idx="3">
                  <c:v>16138</c:v>
                </c:pt>
                <c:pt idx="4">
                  <c:v>16158</c:v>
                </c:pt>
                <c:pt idx="5">
                  <c:v>16158.5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2E-46E6-8155-D941B0313DF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-2823</c:v>
                </c:pt>
                <c:pt idx="1">
                  <c:v>0</c:v>
                </c:pt>
                <c:pt idx="2">
                  <c:v>16138</c:v>
                </c:pt>
                <c:pt idx="3">
                  <c:v>16138</c:v>
                </c:pt>
                <c:pt idx="4">
                  <c:v>16158</c:v>
                </c:pt>
                <c:pt idx="5">
                  <c:v>16158.5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2E-46E6-8155-D941B0313DF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-2823</c:v>
                </c:pt>
                <c:pt idx="1">
                  <c:v>0</c:v>
                </c:pt>
                <c:pt idx="2">
                  <c:v>16138</c:v>
                </c:pt>
                <c:pt idx="3">
                  <c:v>16138</c:v>
                </c:pt>
                <c:pt idx="4">
                  <c:v>16158</c:v>
                </c:pt>
                <c:pt idx="5">
                  <c:v>16158.5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2E-46E6-8155-D941B0313DF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-2823</c:v>
                </c:pt>
                <c:pt idx="1">
                  <c:v>0</c:v>
                </c:pt>
                <c:pt idx="2">
                  <c:v>16138</c:v>
                </c:pt>
                <c:pt idx="3">
                  <c:v>16138</c:v>
                </c:pt>
                <c:pt idx="4">
                  <c:v>16158</c:v>
                </c:pt>
                <c:pt idx="5">
                  <c:v>16158.5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-7.5249999994412065E-2</c:v>
                </c:pt>
                <c:pt idx="2">
                  <c:v>-0.13680000000022119</c:v>
                </c:pt>
                <c:pt idx="3">
                  <c:v>-1.4000000010128133E-3</c:v>
                </c:pt>
                <c:pt idx="4">
                  <c:v>0.2393000000010943</c:v>
                </c:pt>
                <c:pt idx="5">
                  <c:v>-0.11832499999582069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2E-46E6-8155-D941B0313DF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-2823</c:v>
                </c:pt>
                <c:pt idx="1">
                  <c:v>0</c:v>
                </c:pt>
                <c:pt idx="2">
                  <c:v>16138</c:v>
                </c:pt>
                <c:pt idx="3">
                  <c:v>16138</c:v>
                </c:pt>
                <c:pt idx="4">
                  <c:v>16158</c:v>
                </c:pt>
                <c:pt idx="5">
                  <c:v>16158.5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2E-46E6-8155-D941B0313DF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-2823</c:v>
                </c:pt>
                <c:pt idx="1">
                  <c:v>0</c:v>
                </c:pt>
                <c:pt idx="2">
                  <c:v>16138</c:v>
                </c:pt>
                <c:pt idx="3">
                  <c:v>16138</c:v>
                </c:pt>
                <c:pt idx="4">
                  <c:v>16158</c:v>
                </c:pt>
                <c:pt idx="5">
                  <c:v>16158.5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2E-46E6-8155-D941B0313DF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-2823</c:v>
                </c:pt>
                <c:pt idx="1">
                  <c:v>0</c:v>
                </c:pt>
                <c:pt idx="2">
                  <c:v>16138</c:v>
                </c:pt>
                <c:pt idx="3">
                  <c:v>16138</c:v>
                </c:pt>
                <c:pt idx="4">
                  <c:v>16158</c:v>
                </c:pt>
                <c:pt idx="5">
                  <c:v>16158.5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2E-46E6-8155-D941B0313DF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-2823</c:v>
                </c:pt>
                <c:pt idx="1">
                  <c:v>0</c:v>
                </c:pt>
                <c:pt idx="2">
                  <c:v>16138</c:v>
                </c:pt>
                <c:pt idx="3">
                  <c:v>16138</c:v>
                </c:pt>
                <c:pt idx="4">
                  <c:v>16158</c:v>
                </c:pt>
                <c:pt idx="5">
                  <c:v>16158.5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-4.3500970037426333E-2</c:v>
                </c:pt>
                <c:pt idx="1">
                  <c:v>-3.7456279181775909E-2</c:v>
                </c:pt>
                <c:pt idx="2">
                  <c:v>-2.901117641398103E-3</c:v>
                </c:pt>
                <c:pt idx="3">
                  <c:v>-2.901117641398103E-3</c:v>
                </c:pt>
                <c:pt idx="4">
                  <c:v>-2.8582930515599833E-3</c:v>
                </c:pt>
                <c:pt idx="5">
                  <c:v>-2.8572224368140289E-3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2E-46E6-8155-D941B0313DF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-2823</c:v>
                </c:pt>
                <c:pt idx="1">
                  <c:v>0</c:v>
                </c:pt>
                <c:pt idx="2">
                  <c:v>16138</c:v>
                </c:pt>
                <c:pt idx="3">
                  <c:v>16138</c:v>
                </c:pt>
                <c:pt idx="4">
                  <c:v>16158</c:v>
                </c:pt>
                <c:pt idx="5">
                  <c:v>16158.5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2E-46E6-8155-D941B031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660784"/>
        <c:axId val="1"/>
      </c:scatterChart>
      <c:valAx>
        <c:axId val="853660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173996638236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660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93923475018817"/>
          <c:y val="0.92121498449057504"/>
          <c:w val="0.70579541598904894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V1038 Cyg - O-C Diagr.</a:t>
            </a:r>
          </a:p>
        </c:rich>
      </c:tx>
      <c:layout>
        <c:manualLayout>
          <c:xMode val="edge"/>
          <c:yMode val="edge"/>
          <c:x val="0.36849956905461112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30024022294081"/>
          <c:y val="0.14501531966242162"/>
          <c:w val="0.82763804475503577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CD-4172-B92A-039C9E8E65B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CD-4172-B92A-039C9E8E65B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CD-4172-B92A-039C9E8E65B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-4.2459999999991851</c:v>
                </c:pt>
                <c:pt idx="2">
                  <c:v>23.658699999999953</c:v>
                </c:pt>
                <c:pt idx="3">
                  <c:v>23.661099999997532</c:v>
                </c:pt>
                <c:pt idx="4">
                  <c:v>23.689800000007381</c:v>
                </c:pt>
                <c:pt idx="5">
                  <c:v>23.68930000000546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CD-4172-B92A-039C9E8E65B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CD-4172-B92A-039C9E8E65B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CD-4172-B92A-039C9E8E65B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CD-4172-B92A-039C9E8E65B5}"/>
            </c:ext>
          </c:extLst>
        </c:ser>
        <c:ser>
          <c:idx val="7"/>
          <c:order val="7"/>
          <c:tx>
            <c:strRef>
              <c:f>'Active 2'!$W$1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2'!$V$2:$V$15</c:f>
              <c:numCache>
                <c:formatCode>General</c:formatCode>
                <c:ptCount val="14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</c:numCache>
            </c:numRef>
          </c:xVal>
          <c:yVal>
            <c:numRef>
              <c:f>'Active 2'!$W$2:$W$15</c:f>
              <c:numCache>
                <c:formatCode>General</c:formatCode>
                <c:ptCount val="14"/>
                <c:pt idx="0">
                  <c:v>2.8733072099385026E-7</c:v>
                </c:pt>
                <c:pt idx="1">
                  <c:v>1.9921766140968094</c:v>
                </c:pt>
                <c:pt idx="2">
                  <c:v>3.9843529408628977</c:v>
                </c:pt>
                <c:pt idx="3">
                  <c:v>5.9765292676289867</c:v>
                </c:pt>
                <c:pt idx="4">
                  <c:v>7.9687055943950744</c:v>
                </c:pt>
                <c:pt idx="5">
                  <c:v>9.9608819211611639</c:v>
                </c:pt>
                <c:pt idx="6">
                  <c:v>11.953058247927252</c:v>
                </c:pt>
                <c:pt idx="7">
                  <c:v>13.945234574693339</c:v>
                </c:pt>
                <c:pt idx="8">
                  <c:v>15.937410901459428</c:v>
                </c:pt>
                <c:pt idx="9">
                  <c:v>17.929587228225518</c:v>
                </c:pt>
                <c:pt idx="10">
                  <c:v>19.921763554991607</c:v>
                </c:pt>
                <c:pt idx="11">
                  <c:v>21.913939881757695</c:v>
                </c:pt>
                <c:pt idx="12">
                  <c:v>23.906116208523784</c:v>
                </c:pt>
                <c:pt idx="13">
                  <c:v>25.898292535289869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CD-4172-B92A-039C9E8E65B5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CD-4172-B92A-039C9E8E6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670144"/>
        <c:axId val="1"/>
      </c:scatterChart>
      <c:valAx>
        <c:axId val="853670144"/>
        <c:scaling>
          <c:orientation val="minMax"/>
          <c:max val="60000"/>
          <c:min val="5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4563146174338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4"/>
          <c:min val="2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670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96746654810792"/>
          <c:y val="0.92145141978098655"/>
          <c:w val="0.70579541598904894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V1038 Cyg - O-C Diagr.</a:t>
            </a:r>
          </a:p>
        </c:rich>
      </c:tx>
      <c:layout>
        <c:manualLayout>
          <c:xMode val="edge"/>
          <c:yMode val="edge"/>
          <c:x val="0.3679525222551928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9436201780416"/>
          <c:y val="0.14501531966242162"/>
          <c:w val="0.83234421364985167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2E-4362-9E71-5889CA7A0A7C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2E-4362-9E71-5889CA7A0A7C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2E-4362-9E71-5889CA7A0A7C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-4.2459999999991851</c:v>
                </c:pt>
                <c:pt idx="2">
                  <c:v>23.658699999999953</c:v>
                </c:pt>
                <c:pt idx="3">
                  <c:v>23.661099999997532</c:v>
                </c:pt>
                <c:pt idx="4">
                  <c:v>23.689800000007381</c:v>
                </c:pt>
                <c:pt idx="5">
                  <c:v>23.68930000000546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2E-4362-9E71-5889CA7A0A7C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2E-4362-9E71-5889CA7A0A7C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2E-4362-9E71-5889CA7A0A7C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2E-4362-9E71-5889CA7A0A7C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-4.1387460315258275</c:v>
                </c:pt>
                <c:pt idx="1">
                  <c:v>2.8733072099385026E-7</c:v>
                </c:pt>
                <c:pt idx="2">
                  <c:v>23.659683996902817</c:v>
                </c:pt>
                <c:pt idx="3">
                  <c:v>23.659883214535494</c:v>
                </c:pt>
                <c:pt idx="4">
                  <c:v>23.689566641804308</c:v>
                </c:pt>
                <c:pt idx="5">
                  <c:v>23.689765859436985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2E-4362-9E71-5889CA7A0A7C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-10387.5</c:v>
                </c:pt>
                <c:pt idx="1">
                  <c:v>0</c:v>
                </c:pt>
                <c:pt idx="2">
                  <c:v>59381.5</c:v>
                </c:pt>
                <c:pt idx="3">
                  <c:v>59382</c:v>
                </c:pt>
                <c:pt idx="4">
                  <c:v>59456.5</c:v>
                </c:pt>
                <c:pt idx="5">
                  <c:v>59457</c:v>
                </c:pt>
              </c:numCache>
            </c:numRef>
          </c:xVal>
          <c:yVal>
            <c:numRef>
              <c:f>'Active 2'!$U$21:$U$999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2E-4362-9E71-5889CA7A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082312"/>
        <c:axId val="1"/>
      </c:scatterChart>
      <c:valAx>
        <c:axId val="856082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204747774480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61424332344211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082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19881305637983"/>
          <c:y val="0.92145141978098655"/>
          <c:w val="0.70474777448071224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247650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CE2C32-40C4-DE07-2BD3-FFCC6F741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247650</xdr:colOff>
      <xdr:row>18</xdr:row>
      <xdr:rowOff>57150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DE6808DA-8AC9-BD4D-6C36-EBB3F98D4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</xdr:colOff>
      <xdr:row>0</xdr:row>
      <xdr:rowOff>0</xdr:rowOff>
    </xdr:from>
    <xdr:to>
      <xdr:col>27</xdr:col>
      <xdr:colOff>361950</xdr:colOff>
      <xdr:row>18</xdr:row>
      <xdr:rowOff>57150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27B55EA8-4D7A-1795-FC50-2EAED1BB0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56</v>
      </c>
      <c r="F1" s="50" t="s">
        <v>54</v>
      </c>
      <c r="G1" s="32">
        <v>20.075379999999999</v>
      </c>
      <c r="H1" s="33">
        <v>51.583199999999998</v>
      </c>
      <c r="I1" s="34">
        <v>37669.24</v>
      </c>
      <c r="J1" s="34">
        <v>1.9604999999999999</v>
      </c>
      <c r="K1" s="31" t="s">
        <v>55</v>
      </c>
      <c r="L1" s="33"/>
      <c r="M1" s="34">
        <v>37669.24</v>
      </c>
      <c r="N1" s="34">
        <v>1.9604999999999999</v>
      </c>
      <c r="O1" s="37" t="s">
        <v>55</v>
      </c>
    </row>
    <row r="2" spans="1:15" x14ac:dyDescent="0.2">
      <c r="A2" t="s">
        <v>23</v>
      </c>
      <c r="B2" t="s">
        <v>55</v>
      </c>
      <c r="C2" s="30"/>
      <c r="D2" s="3"/>
    </row>
    <row r="3" spans="1:15" ht="13.5" thickBot="1" x14ac:dyDescent="0.25">
      <c r="F3" s="57" t="s">
        <v>62</v>
      </c>
    </row>
    <row r="4" spans="1:15" ht="14.25" thickTop="1" thickBot="1" x14ac:dyDescent="0.25">
      <c r="A4" s="5" t="s">
        <v>0</v>
      </c>
      <c r="C4" s="27">
        <v>37669.24</v>
      </c>
      <c r="D4" s="28">
        <v>1.9604999999999999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8">
        <v>37669.24</v>
      </c>
      <c r="D7" s="29" t="s">
        <v>59</v>
      </c>
    </row>
    <row r="8" spans="1:15" x14ac:dyDescent="0.2">
      <c r="A8" t="s">
        <v>3</v>
      </c>
      <c r="C8" s="58">
        <f>+D4/2</f>
        <v>0.98024999999999995</v>
      </c>
      <c r="D8" s="29" t="s">
        <v>59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-3.7456279181775909E-2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2.1412294919059245E-6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53508.116641706947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0.98025214122949189</v>
      </c>
      <c r="E16" s="14" t="s">
        <v>30</v>
      </c>
      <c r="F16" s="36">
        <f ca="1">NOW()+15018.5+$C$5/24</f>
        <v>60344.699824652773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23133.5</v>
      </c>
    </row>
    <row r="18" spans="1:21" ht="14.25" thickTop="1" thickBot="1" x14ac:dyDescent="0.25">
      <c r="A18" s="16" t="s">
        <v>5</v>
      </c>
      <c r="B18" s="10"/>
      <c r="C18" s="19">
        <f ca="1">+C15</f>
        <v>53508.116641706947</v>
      </c>
      <c r="D18" s="20">
        <f ca="1">+C16</f>
        <v>0.98025214122949189</v>
      </c>
      <c r="E18" s="14" t="s">
        <v>36</v>
      </c>
      <c r="F18" s="23">
        <f ca="1">ROUND(2*(F16-$C$15)/$C$16,0)/2+F15</f>
        <v>6975.5</v>
      </c>
    </row>
    <row r="19" spans="1:21" ht="13.5" thickTop="1" x14ac:dyDescent="0.2">
      <c r="E19" s="14" t="s">
        <v>31</v>
      </c>
      <c r="F19" s="18">
        <f ca="1">+$C$15+$C$16*F18-15018.5-$C$5/24</f>
        <v>45327.7612861866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t="s">
        <v>53</v>
      </c>
      <c r="B21" s="3" t="s">
        <v>60</v>
      </c>
      <c r="C21" s="8">
        <v>34901.919000000002</v>
      </c>
      <c r="D21" s="8" t="s">
        <v>38</v>
      </c>
      <c r="E21">
        <f t="shared" ref="E21:E26" si="0">+(C21-C$7)/C$8</f>
        <v>-2823.0767661310852</v>
      </c>
      <c r="F21">
        <f t="shared" ref="F21:F26" si="1">ROUND(2*E21,0)/2</f>
        <v>-2823</v>
      </c>
      <c r="G21">
        <f t="shared" ref="G21:G26" si="2">+C21-(C$7+F21*C$8)</f>
        <v>-7.5249999994412065E-2</v>
      </c>
      <c r="K21">
        <f>+G21</f>
        <v>-7.5249999994412065E-2</v>
      </c>
      <c r="O21">
        <f t="shared" ref="O21:O26" ca="1" si="3">+C$11+C$12*$F21</f>
        <v>-4.3500970037426333E-2</v>
      </c>
      <c r="Q21" s="2">
        <f t="shared" ref="Q21:Q26" si="4">+C21-15018.5</f>
        <v>19883.419000000002</v>
      </c>
      <c r="R21" s="2"/>
      <c r="S21" s="2"/>
      <c r="T21" s="2"/>
    </row>
    <row r="22" spans="1:21" x14ac:dyDescent="0.2">
      <c r="A22" t="str">
        <f>D8</f>
        <v>Malkov</v>
      </c>
      <c r="C22" s="8">
        <v>37669.24</v>
      </c>
      <c r="D22" s="8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I22">
        <f>+G22</f>
        <v>0</v>
      </c>
      <c r="O22">
        <f t="shared" ca="1" si="3"/>
        <v>-3.7456279181775909E-2</v>
      </c>
      <c r="Q22" s="2">
        <f t="shared" si="4"/>
        <v>22650.739999999998</v>
      </c>
      <c r="R22" s="2"/>
      <c r="S22" s="2"/>
      <c r="T22" s="2"/>
    </row>
    <row r="23" spans="1:21" x14ac:dyDescent="0.2">
      <c r="A23" s="51" t="s">
        <v>57</v>
      </c>
      <c r="B23" s="52" t="s">
        <v>58</v>
      </c>
      <c r="C23" s="51">
        <v>53488.377699999997</v>
      </c>
      <c r="D23" s="51">
        <v>2.0000000000000001E-4</v>
      </c>
      <c r="E23">
        <f t="shared" si="0"/>
        <v>16137.860443764346</v>
      </c>
      <c r="F23">
        <f t="shared" si="1"/>
        <v>16138</v>
      </c>
      <c r="G23">
        <f t="shared" si="2"/>
        <v>-0.13680000000022119</v>
      </c>
      <c r="K23">
        <f>+G23</f>
        <v>-0.13680000000022119</v>
      </c>
      <c r="O23">
        <f t="shared" ca="1" si="3"/>
        <v>-2.901117641398103E-3</v>
      </c>
      <c r="Q23" s="2">
        <f t="shared" si="4"/>
        <v>38469.877699999997</v>
      </c>
      <c r="R23" s="2"/>
      <c r="S23" s="2"/>
      <c r="T23" s="2"/>
    </row>
    <row r="24" spans="1:21" x14ac:dyDescent="0.2">
      <c r="A24" s="51" t="s">
        <v>57</v>
      </c>
      <c r="B24" s="52" t="s">
        <v>60</v>
      </c>
      <c r="C24" s="51">
        <v>53488.513099999996</v>
      </c>
      <c r="D24" s="51">
        <v>1E-4</v>
      </c>
      <c r="E24">
        <f t="shared" si="0"/>
        <v>16137.998571792908</v>
      </c>
      <c r="F24">
        <f t="shared" si="1"/>
        <v>16138</v>
      </c>
      <c r="G24">
        <f t="shared" si="2"/>
        <v>-1.4000000010128133E-3</v>
      </c>
      <c r="K24">
        <f>+G24</f>
        <v>-1.4000000010128133E-3</v>
      </c>
      <c r="O24">
        <f t="shared" ca="1" si="3"/>
        <v>-2.901117641398103E-3</v>
      </c>
      <c r="Q24" s="2">
        <f t="shared" si="4"/>
        <v>38470.013099999996</v>
      </c>
      <c r="R24" s="2"/>
      <c r="S24" s="2"/>
      <c r="T24" s="2"/>
    </row>
    <row r="25" spans="1:21" x14ac:dyDescent="0.2">
      <c r="A25" s="51" t="s">
        <v>57</v>
      </c>
      <c r="B25" s="52" t="s">
        <v>60</v>
      </c>
      <c r="C25" s="51">
        <v>53508.358800000002</v>
      </c>
      <c r="D25" s="51">
        <v>2.0000000000000001E-4</v>
      </c>
      <c r="E25">
        <f t="shared" si="0"/>
        <v>16158.244121397607</v>
      </c>
      <c r="F25">
        <f t="shared" si="1"/>
        <v>16158</v>
      </c>
      <c r="G25">
        <f t="shared" si="2"/>
        <v>0.2393000000010943</v>
      </c>
      <c r="K25">
        <f>+G25</f>
        <v>0.2393000000010943</v>
      </c>
      <c r="O25">
        <f t="shared" ca="1" si="3"/>
        <v>-2.8582930515599833E-3</v>
      </c>
      <c r="Q25" s="2">
        <f t="shared" si="4"/>
        <v>38489.858800000002</v>
      </c>
      <c r="R25" s="2"/>
      <c r="S25" s="2"/>
      <c r="T25" s="2"/>
    </row>
    <row r="26" spans="1:21" x14ac:dyDescent="0.2">
      <c r="A26" s="51" t="s">
        <v>57</v>
      </c>
      <c r="B26" s="52" t="s">
        <v>58</v>
      </c>
      <c r="C26" s="51">
        <v>53508.491300000002</v>
      </c>
      <c r="D26" s="51">
        <v>2.0000000000000001E-4</v>
      </c>
      <c r="E26">
        <f t="shared" si="0"/>
        <v>16158.3792909972</v>
      </c>
      <c r="F26">
        <f t="shared" si="1"/>
        <v>16158.5</v>
      </c>
      <c r="G26">
        <f t="shared" si="2"/>
        <v>-0.11832499999582069</v>
      </c>
      <c r="K26">
        <f>+G26</f>
        <v>-0.11832499999582069</v>
      </c>
      <c r="O26">
        <f t="shared" ca="1" si="3"/>
        <v>-2.8572224368140289E-3</v>
      </c>
      <c r="Q26" s="2">
        <f t="shared" si="4"/>
        <v>38489.991300000002</v>
      </c>
      <c r="R26" s="2"/>
      <c r="S26" s="2"/>
      <c r="T26" s="2"/>
    </row>
    <row r="27" spans="1:21" x14ac:dyDescent="0.2">
      <c r="C27" s="8"/>
      <c r="D27" s="8"/>
      <c r="Q27" s="2"/>
      <c r="R27" s="2"/>
      <c r="S27" s="2"/>
      <c r="T27" s="2"/>
    </row>
    <row r="28" spans="1:21" x14ac:dyDescent="0.2">
      <c r="C28" s="8"/>
      <c r="D28" s="8"/>
      <c r="Q28" s="2"/>
      <c r="R28" s="2"/>
      <c r="S28" s="2"/>
      <c r="T28" s="2"/>
    </row>
    <row r="29" spans="1:21" x14ac:dyDescent="0.2">
      <c r="C29" s="8"/>
      <c r="D29" s="8"/>
      <c r="Q29" s="2"/>
      <c r="R29" s="2"/>
      <c r="S29" s="2"/>
      <c r="T29" s="2"/>
    </row>
    <row r="30" spans="1:21" x14ac:dyDescent="0.2"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35" sqref="F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23" ht="21" thickBot="1" x14ac:dyDescent="0.35">
      <c r="A1" s="1" t="s">
        <v>56</v>
      </c>
      <c r="F1" s="50" t="s">
        <v>54</v>
      </c>
      <c r="G1" s="32">
        <v>20.075379999999999</v>
      </c>
      <c r="H1" s="33">
        <v>51.583199999999998</v>
      </c>
      <c r="I1" s="34">
        <v>37669.24</v>
      </c>
      <c r="J1" s="34">
        <v>1.9604999999999999</v>
      </c>
      <c r="K1" s="31" t="s">
        <v>55</v>
      </c>
      <c r="L1" s="33"/>
      <c r="M1" s="34">
        <v>37669.24</v>
      </c>
      <c r="N1" s="34">
        <v>1.9604999999999999</v>
      </c>
      <c r="O1" s="37" t="s">
        <v>55</v>
      </c>
      <c r="V1" s="4" t="s">
        <v>10</v>
      </c>
      <c r="W1" s="7" t="s">
        <v>22</v>
      </c>
    </row>
    <row r="2" spans="1:23" x14ac:dyDescent="0.2">
      <c r="A2" t="s">
        <v>23</v>
      </c>
      <c r="B2" t="s">
        <v>55</v>
      </c>
      <c r="C2" s="55" t="s">
        <v>61</v>
      </c>
      <c r="D2" s="55"/>
      <c r="E2" s="56"/>
      <c r="V2">
        <v>0</v>
      </c>
      <c r="W2">
        <f ca="1">+C$11+C$12*V2</f>
        <v>2.8733072099385026E-7</v>
      </c>
    </row>
    <row r="3" spans="1:23" ht="13.5" thickBot="1" x14ac:dyDescent="0.25">
      <c r="F3" s="57" t="s">
        <v>62</v>
      </c>
      <c r="V3">
        <v>5000</v>
      </c>
      <c r="W3">
        <f t="shared" ref="W3:W15" ca="1" si="0">+C$11+C$12*V3</f>
        <v>1.9921766140968094</v>
      </c>
    </row>
    <row r="4" spans="1:23" ht="14.25" thickTop="1" thickBot="1" x14ac:dyDescent="0.25">
      <c r="A4" s="5" t="s">
        <v>0</v>
      </c>
      <c r="C4" s="27">
        <v>37669.24</v>
      </c>
      <c r="D4" s="28">
        <v>1.9604999999999999</v>
      </c>
      <c r="V4">
        <v>10000</v>
      </c>
      <c r="W4">
        <f t="shared" ca="1" si="0"/>
        <v>3.9843529408628977</v>
      </c>
    </row>
    <row r="5" spans="1:23" ht="13.5" thickTop="1" x14ac:dyDescent="0.2">
      <c r="A5" s="9" t="s">
        <v>28</v>
      </c>
      <c r="B5" s="10"/>
      <c r="C5" s="11">
        <v>8</v>
      </c>
      <c r="D5" s="10" t="s">
        <v>29</v>
      </c>
      <c r="E5" s="10"/>
      <c r="V5">
        <v>15000</v>
      </c>
      <c r="W5">
        <f t="shared" ca="1" si="0"/>
        <v>5.9765292676289867</v>
      </c>
    </row>
    <row r="6" spans="1:23" x14ac:dyDescent="0.2">
      <c r="A6" s="5" t="s">
        <v>1</v>
      </c>
      <c r="V6">
        <v>20000</v>
      </c>
      <c r="W6">
        <f t="shared" ca="1" si="0"/>
        <v>7.9687055943950744</v>
      </c>
    </row>
    <row r="7" spans="1:23" x14ac:dyDescent="0.2">
      <c r="A7" t="s">
        <v>2</v>
      </c>
      <c r="C7" s="58">
        <v>37669.24</v>
      </c>
      <c r="D7" s="29" t="s">
        <v>59</v>
      </c>
      <c r="V7">
        <v>25000</v>
      </c>
      <c r="W7">
        <f t="shared" ca="1" si="0"/>
        <v>9.9608819211611639</v>
      </c>
    </row>
    <row r="8" spans="1:23" x14ac:dyDescent="0.2">
      <c r="A8" t="s">
        <v>3</v>
      </c>
      <c r="C8" s="58">
        <v>0.26600000000000001</v>
      </c>
      <c r="D8" s="29" t="s">
        <v>59</v>
      </c>
      <c r="V8">
        <v>30000</v>
      </c>
      <c r="W8">
        <f t="shared" ca="1" si="0"/>
        <v>11.953058247927252</v>
      </c>
    </row>
    <row r="9" spans="1:23" x14ac:dyDescent="0.2">
      <c r="A9" s="24" t="s">
        <v>32</v>
      </c>
      <c r="C9" s="25">
        <v>22</v>
      </c>
      <c r="D9" s="22" t="str">
        <f>"F"&amp;C9</f>
        <v>F22</v>
      </c>
      <c r="E9" s="23" t="str">
        <f>"G"&amp;C9</f>
        <v>G22</v>
      </c>
      <c r="V9">
        <v>35000</v>
      </c>
      <c r="W9">
        <f t="shared" ca="1" si="0"/>
        <v>13.945234574693339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  <c r="F10" s="54">
        <v>16</v>
      </c>
      <c r="V10">
        <v>40000</v>
      </c>
      <c r="W10">
        <f t="shared" ca="1" si="0"/>
        <v>15.937410901459428</v>
      </c>
    </row>
    <row r="11" spans="1:23" x14ac:dyDescent="0.2">
      <c r="A11" s="10" t="s">
        <v>15</v>
      </c>
      <c r="B11" s="10"/>
      <c r="C11" s="21">
        <f ca="1">INTERCEPT(INDIRECT($E$9):G992,INDIRECT($D$9):F992)</f>
        <v>2.8733072099385026E-7</v>
      </c>
      <c r="D11" s="3"/>
      <c r="E11" s="10"/>
      <c r="V11">
        <v>45000</v>
      </c>
      <c r="W11">
        <f t="shared" ca="1" si="0"/>
        <v>17.929587228225518</v>
      </c>
    </row>
    <row r="12" spans="1:23" x14ac:dyDescent="0.2">
      <c r="A12" s="10" t="s">
        <v>16</v>
      </c>
      <c r="B12" s="10"/>
      <c r="C12" s="21">
        <f ca="1">SLOPE(INDIRECT($E$9):G992,INDIRECT($D$9):F992)</f>
        <v>3.9843526535321769E-4</v>
      </c>
      <c r="D12" s="3"/>
      <c r="E12" s="10"/>
      <c r="F12" s="53">
        <v>89</v>
      </c>
      <c r="V12">
        <v>50000</v>
      </c>
      <c r="W12">
        <f t="shared" ca="1" si="0"/>
        <v>19.921763554991607</v>
      </c>
    </row>
    <row r="13" spans="1:23" x14ac:dyDescent="0.2">
      <c r="A13" s="10" t="s">
        <v>18</v>
      </c>
      <c r="B13" s="10"/>
      <c r="C13" s="3" t="s">
        <v>13</v>
      </c>
      <c r="V13">
        <v>55000</v>
      </c>
      <c r="W13">
        <f t="shared" ca="1" si="0"/>
        <v>21.913939881757695</v>
      </c>
    </row>
    <row r="14" spans="1:23" x14ac:dyDescent="0.2">
      <c r="A14" s="10"/>
      <c r="B14" s="10"/>
      <c r="C14" s="10"/>
      <c r="V14">
        <v>60000</v>
      </c>
      <c r="W14">
        <f t="shared" ca="1" si="0"/>
        <v>23.906116208523784</v>
      </c>
    </row>
    <row r="15" spans="1:23" x14ac:dyDescent="0.2">
      <c r="A15" s="12" t="s">
        <v>17</v>
      </c>
      <c r="B15" s="10"/>
      <c r="C15" s="13">
        <f ca="1">(C7+C11)+(C8+C12)*INT(MAX(F21:F3533))</f>
        <v>53508.491765859435</v>
      </c>
      <c r="E15" s="14" t="s">
        <v>34</v>
      </c>
      <c r="F15" s="35">
        <v>1</v>
      </c>
      <c r="V15">
        <v>65000</v>
      </c>
      <c r="W15">
        <f t="shared" ca="1" si="0"/>
        <v>25.898292535289869</v>
      </c>
    </row>
    <row r="16" spans="1:23" x14ac:dyDescent="0.2">
      <c r="A16" s="16" t="s">
        <v>4</v>
      </c>
      <c r="B16" s="10"/>
      <c r="C16" s="17">
        <f ca="1">+C8+C12</f>
        <v>0.26639843526535323</v>
      </c>
      <c r="E16" s="14" t="s">
        <v>30</v>
      </c>
      <c r="F16" s="36">
        <f ca="1">NOW()+15018.5+$C$5/24</f>
        <v>60345.428991319444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85250</v>
      </c>
    </row>
    <row r="18" spans="1:21" ht="14.25" thickTop="1" thickBot="1" x14ac:dyDescent="0.25">
      <c r="A18" s="16" t="s">
        <v>5</v>
      </c>
      <c r="B18" s="10"/>
      <c r="C18" s="19">
        <f ca="1">+C15</f>
        <v>53508.491765859435</v>
      </c>
      <c r="D18" s="20">
        <f ca="1">+C16</f>
        <v>0.26639843526535323</v>
      </c>
      <c r="E18" s="14" t="s">
        <v>36</v>
      </c>
      <c r="F18" s="23">
        <f ca="1">ROUND(2*(F16-$C$15)/$C$16,0)/2+F15</f>
        <v>25665.5</v>
      </c>
    </row>
    <row r="19" spans="1:21" ht="13.5" thickTop="1" x14ac:dyDescent="0.2">
      <c r="E19" s="14" t="s">
        <v>31</v>
      </c>
      <c r="F19" s="18">
        <f ca="1">+$C$15+$C$16*F18-15018.5-$C$5/24</f>
        <v>45326.907472829022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t="s">
        <v>53</v>
      </c>
      <c r="B21" s="3" t="s">
        <v>60</v>
      </c>
      <c r="C21" s="8">
        <v>34901.919000000002</v>
      </c>
      <c r="D21" s="8" t="s">
        <v>38</v>
      </c>
      <c r="E21">
        <f t="shared" ref="E21:E26" si="1">+(C21-C$7)/C$8</f>
        <v>-10403.462406015024</v>
      </c>
      <c r="F21" s="54">
        <f>ROUND(2*E21,0)/2+F10</f>
        <v>-10387.5</v>
      </c>
      <c r="G21">
        <f t="shared" ref="G21:G26" si="2">+C21-(C$7+F21*C$8)</f>
        <v>-4.2459999999991851</v>
      </c>
      <c r="K21">
        <f>+G21</f>
        <v>-4.2459999999991851</v>
      </c>
      <c r="O21">
        <f t="shared" ref="O21:O26" ca="1" si="3">+C$11+C$12*$F21</f>
        <v>-4.1387460315258275</v>
      </c>
      <c r="Q21" s="2">
        <f t="shared" ref="Q21:Q26" si="4">+C21-15018.5</f>
        <v>19883.419000000002</v>
      </c>
      <c r="R21" s="2"/>
      <c r="S21" s="2"/>
      <c r="T21" s="2"/>
    </row>
    <row r="22" spans="1:21" x14ac:dyDescent="0.2">
      <c r="A22" t="str">
        <f>D8</f>
        <v>Malkov</v>
      </c>
      <c r="C22" s="8">
        <v>37669.24</v>
      </c>
      <c r="D22" s="8" t="s">
        <v>13</v>
      </c>
      <c r="E22">
        <f t="shared" si="1"/>
        <v>0</v>
      </c>
      <c r="F22">
        <f>ROUND(2*E22,0)/2</f>
        <v>0</v>
      </c>
      <c r="G22">
        <f t="shared" si="2"/>
        <v>0</v>
      </c>
      <c r="I22">
        <f>+G22</f>
        <v>0</v>
      </c>
      <c r="O22">
        <f t="shared" ca="1" si="3"/>
        <v>2.8733072099385026E-7</v>
      </c>
      <c r="Q22" s="2">
        <f t="shared" si="4"/>
        <v>22650.739999999998</v>
      </c>
      <c r="R22" s="2"/>
      <c r="S22" s="2"/>
      <c r="T22" s="2"/>
    </row>
    <row r="23" spans="1:21" x14ac:dyDescent="0.2">
      <c r="A23" s="51" t="s">
        <v>57</v>
      </c>
      <c r="B23" s="52" t="s">
        <v>58</v>
      </c>
      <c r="C23" s="51">
        <v>53488.377699999997</v>
      </c>
      <c r="D23" s="51">
        <v>2.0000000000000001E-4</v>
      </c>
      <c r="E23">
        <f t="shared" si="1"/>
        <v>59470.442481203005</v>
      </c>
      <c r="F23" s="53">
        <f>ROUND(2*E23,0)/2-F$12</f>
        <v>59381.5</v>
      </c>
      <c r="G23">
        <f t="shared" si="2"/>
        <v>23.658699999999953</v>
      </c>
      <c r="K23">
        <f>+G23</f>
        <v>23.658699999999953</v>
      </c>
      <c r="O23">
        <f t="shared" ca="1" si="3"/>
        <v>23.659683996902817</v>
      </c>
      <c r="Q23" s="2">
        <f t="shared" si="4"/>
        <v>38469.877699999997</v>
      </c>
      <c r="R23" s="2"/>
      <c r="S23" s="2"/>
      <c r="T23" s="2"/>
    </row>
    <row r="24" spans="1:21" x14ac:dyDescent="0.2">
      <c r="A24" s="51" t="s">
        <v>57</v>
      </c>
      <c r="B24" s="52" t="s">
        <v>60</v>
      </c>
      <c r="C24" s="51">
        <v>53488.513099999996</v>
      </c>
      <c r="D24" s="51">
        <v>1E-4</v>
      </c>
      <c r="E24">
        <f t="shared" si="1"/>
        <v>59470.951503759388</v>
      </c>
      <c r="F24" s="53">
        <f>ROUND(2*E24,0)/2-F$12</f>
        <v>59382</v>
      </c>
      <c r="G24">
        <f t="shared" si="2"/>
        <v>23.661099999997532</v>
      </c>
      <c r="K24">
        <f>+G24</f>
        <v>23.661099999997532</v>
      </c>
      <c r="O24">
        <f t="shared" ca="1" si="3"/>
        <v>23.659883214535494</v>
      </c>
      <c r="Q24" s="2">
        <f t="shared" si="4"/>
        <v>38470.013099999996</v>
      </c>
      <c r="R24" s="2"/>
      <c r="S24" s="2"/>
      <c r="T24" s="2"/>
    </row>
    <row r="25" spans="1:21" x14ac:dyDescent="0.2">
      <c r="A25" s="51" t="s">
        <v>57</v>
      </c>
      <c r="B25" s="52" t="s">
        <v>60</v>
      </c>
      <c r="C25" s="51">
        <v>53508.358800000002</v>
      </c>
      <c r="D25" s="51">
        <v>2.0000000000000001E-4</v>
      </c>
      <c r="E25">
        <f t="shared" si="1"/>
        <v>59545.559398496254</v>
      </c>
      <c r="F25" s="53">
        <f>ROUND(2*E25,0)/2-F$12</f>
        <v>59456.5</v>
      </c>
      <c r="G25">
        <f t="shared" si="2"/>
        <v>23.689800000007381</v>
      </c>
      <c r="K25">
        <f>+G25</f>
        <v>23.689800000007381</v>
      </c>
      <c r="O25">
        <f t="shared" ca="1" si="3"/>
        <v>23.689566641804308</v>
      </c>
      <c r="Q25" s="2">
        <f t="shared" si="4"/>
        <v>38489.858800000002</v>
      </c>
      <c r="R25" s="2"/>
      <c r="S25" s="2"/>
      <c r="T25" s="2"/>
    </row>
    <row r="26" spans="1:21" x14ac:dyDescent="0.2">
      <c r="A26" s="51" t="s">
        <v>57</v>
      </c>
      <c r="B26" s="52" t="s">
        <v>58</v>
      </c>
      <c r="C26" s="51">
        <v>53508.491300000002</v>
      </c>
      <c r="D26" s="51">
        <v>2.0000000000000001E-4</v>
      </c>
      <c r="E26">
        <f t="shared" si="1"/>
        <v>59546.057518797003</v>
      </c>
      <c r="F26" s="53">
        <f>ROUND(2*E26,0)/2-F$12</f>
        <v>59457</v>
      </c>
      <c r="G26">
        <f t="shared" si="2"/>
        <v>23.68930000000546</v>
      </c>
      <c r="K26">
        <f>+G26</f>
        <v>23.68930000000546</v>
      </c>
      <c r="O26">
        <f t="shared" ca="1" si="3"/>
        <v>23.689765859436985</v>
      </c>
      <c r="Q26" s="2">
        <f t="shared" si="4"/>
        <v>38489.991300000002</v>
      </c>
      <c r="R26" s="2"/>
      <c r="S26" s="2"/>
      <c r="T26" s="2"/>
    </row>
    <row r="27" spans="1:21" x14ac:dyDescent="0.2">
      <c r="C27" s="8"/>
      <c r="D27" s="8"/>
      <c r="Q27" s="2"/>
      <c r="R27" s="2"/>
      <c r="S27" s="2"/>
      <c r="T27" s="2"/>
    </row>
    <row r="28" spans="1:21" x14ac:dyDescent="0.2">
      <c r="C28" s="8"/>
      <c r="D28" s="8"/>
      <c r="Q28" s="2"/>
      <c r="R28" s="2"/>
      <c r="S28" s="2"/>
      <c r="T28" s="2"/>
    </row>
    <row r="29" spans="1:21" x14ac:dyDescent="0.2">
      <c r="C29" s="8"/>
      <c r="D29" s="8"/>
      <c r="Q29" s="2"/>
      <c r="R29" s="2"/>
      <c r="S29" s="2"/>
      <c r="T29" s="2"/>
    </row>
    <row r="30" spans="1:21" x14ac:dyDescent="0.2"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7"/>
  <sheetViews>
    <sheetView workbookViewId="0">
      <selection activeCell="A11" sqref="A11:D11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>P11</f>
        <v> AJ 67.462 </v>
      </c>
      <c r="B11" s="3" t="str">
        <f>IF(H11=INT(H11),"I","II")</f>
        <v>I</v>
      </c>
      <c r="C11" s="8">
        <f>1*G11</f>
        <v>34901.919000000002</v>
      </c>
      <c r="D11" s="10" t="str">
        <f>VLOOKUP(F11,I$1:J$5,2,FALSE)</f>
        <v>vis</v>
      </c>
      <c r="E11" s="46">
        <f>VLOOKUP(C11,'Active 1'!C$21:E$973,3,FALSE)</f>
        <v>-2823.0767661310852</v>
      </c>
      <c r="F11" s="3" t="s">
        <v>47</v>
      </c>
      <c r="G11" s="10" t="str">
        <f>MID(I11,3,LEN(I11)-3)</f>
        <v>34901.919</v>
      </c>
      <c r="H11" s="8">
        <f>1*K11</f>
        <v>-3273</v>
      </c>
      <c r="I11" s="47" t="s">
        <v>48</v>
      </c>
      <c r="J11" s="48" t="s">
        <v>49</v>
      </c>
      <c r="K11" s="47">
        <v>-3273</v>
      </c>
      <c r="L11" s="47" t="s">
        <v>50</v>
      </c>
      <c r="M11" s="48" t="s">
        <v>51</v>
      </c>
      <c r="N11" s="48"/>
      <c r="O11" s="49" t="s">
        <v>52</v>
      </c>
      <c r="P11" s="49" t="s">
        <v>53</v>
      </c>
    </row>
    <row r="12" spans="1:16" x14ac:dyDescent="0.2">
      <c r="B12" s="3"/>
      <c r="F12" s="3"/>
    </row>
    <row r="13" spans="1:16" x14ac:dyDescent="0.2">
      <c r="B13" s="3"/>
      <c r="F13" s="3"/>
    </row>
    <row r="14" spans="1:16" x14ac:dyDescent="0.2">
      <c r="B14" s="3"/>
      <c r="F14" s="3"/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2024-02-04T03:47:44Z</dcterms:modified>
</cp:coreProperties>
</file>