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C76B86-F223-4215-99DA-7FDA377D42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51" i="1"/>
  <c r="Q21" i="1"/>
  <c r="C7" i="1"/>
  <c r="E23" i="1" s="1"/>
  <c r="C8" i="1"/>
  <c r="E21" i="1" s="1"/>
  <c r="F21" i="1" s="1"/>
  <c r="G21" i="1" s="1"/>
  <c r="H21" i="1" s="1"/>
  <c r="Q50" i="1"/>
  <c r="Q49" i="1"/>
  <c r="Q34" i="1"/>
  <c r="G36" i="2"/>
  <c r="C36" i="2"/>
  <c r="G35" i="2"/>
  <c r="C35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34" i="2"/>
  <c r="C34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6" i="2"/>
  <c r="B36" i="2"/>
  <c r="D36" i="2"/>
  <c r="A36" i="2"/>
  <c r="H35" i="2"/>
  <c r="D35" i="2"/>
  <c r="B35" i="2"/>
  <c r="A35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34" i="2"/>
  <c r="B34" i="2"/>
  <c r="D34" i="2"/>
  <c r="A34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4" i="1"/>
  <c r="Q45" i="1"/>
  <c r="Q46" i="1"/>
  <c r="F17" i="1"/>
  <c r="Q48" i="1"/>
  <c r="Q39" i="1"/>
  <c r="Q37" i="1"/>
  <c r="Q47" i="1"/>
  <c r="Q41" i="1"/>
  <c r="Q42" i="1"/>
  <c r="Q43" i="1"/>
  <c r="Q36" i="1"/>
  <c r="Q38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40" i="1"/>
  <c r="C17" i="1"/>
  <c r="E22" i="1"/>
  <c r="F22" i="1" s="1"/>
  <c r="G22" i="1" s="1"/>
  <c r="I22" i="1" s="1"/>
  <c r="E36" i="1"/>
  <c r="F36" i="1" s="1"/>
  <c r="G36" i="1" s="1"/>
  <c r="K36" i="1" s="1"/>
  <c r="E23" i="2"/>
  <c r="E12" i="2" l="1"/>
  <c r="F23" i="1"/>
  <c r="G23" i="1" s="1"/>
  <c r="I23" i="1" s="1"/>
  <c r="E41" i="1"/>
  <c r="E42" i="1"/>
  <c r="E31" i="1"/>
  <c r="E25" i="1"/>
  <c r="E27" i="1"/>
  <c r="E39" i="1"/>
  <c r="F39" i="1" s="1"/>
  <c r="G39" i="1" s="1"/>
  <c r="K39" i="1" s="1"/>
  <c r="E26" i="1"/>
  <c r="E46" i="1"/>
  <c r="E29" i="1"/>
  <c r="E32" i="1"/>
  <c r="E33" i="1"/>
  <c r="F33" i="1" s="1"/>
  <c r="E51" i="1"/>
  <c r="F51" i="1" s="1"/>
  <c r="G51" i="1" s="1"/>
  <c r="K51" i="1" s="1"/>
  <c r="E30" i="1"/>
  <c r="E47" i="1"/>
  <c r="E48" i="1"/>
  <c r="E50" i="1"/>
  <c r="E43" i="1"/>
  <c r="E45" i="1"/>
  <c r="E40" i="1"/>
  <c r="E34" i="1"/>
  <c r="E28" i="1"/>
  <c r="E11" i="2"/>
  <c r="E37" i="1"/>
  <c r="F37" i="1" s="1"/>
  <c r="G37" i="1" s="1"/>
  <c r="K37" i="1" s="1"/>
  <c r="E44" i="1"/>
  <c r="E49" i="1"/>
  <c r="E35" i="1"/>
  <c r="E24" i="1"/>
  <c r="E38" i="1"/>
  <c r="E17" i="2" l="1"/>
  <c r="F28" i="1"/>
  <c r="G28" i="1" s="1"/>
  <c r="I28" i="1" s="1"/>
  <c r="F38" i="1"/>
  <c r="G38" i="1" s="1"/>
  <c r="K38" i="1" s="1"/>
  <c r="E24" i="2"/>
  <c r="F34" i="1"/>
  <c r="G34" i="1" s="1"/>
  <c r="I34" i="1" s="1"/>
  <c r="E34" i="2"/>
  <c r="E14" i="2"/>
  <c r="F25" i="1"/>
  <c r="G25" i="1" s="1"/>
  <c r="I25" i="1" s="1"/>
  <c r="E32" i="2"/>
  <c r="F47" i="1"/>
  <c r="G47" i="1" s="1"/>
  <c r="J47" i="1" s="1"/>
  <c r="E25" i="2"/>
  <c r="F40" i="1"/>
  <c r="G40" i="1" s="1"/>
  <c r="I40" i="1" s="1"/>
  <c r="F31" i="1"/>
  <c r="G31" i="1" s="1"/>
  <c r="I31" i="1" s="1"/>
  <c r="E20" i="2"/>
  <c r="E19" i="2"/>
  <c r="F30" i="1"/>
  <c r="G30" i="1" s="1"/>
  <c r="I30" i="1" s="1"/>
  <c r="F27" i="1"/>
  <c r="G27" i="1" s="1"/>
  <c r="I27" i="1" s="1"/>
  <c r="E16" i="2"/>
  <c r="F24" i="1"/>
  <c r="G24" i="1" s="1"/>
  <c r="I24" i="1" s="1"/>
  <c r="E13" i="2"/>
  <c r="E22" i="2"/>
  <c r="F35" i="1"/>
  <c r="G35" i="1" s="1"/>
  <c r="K35" i="1" s="1"/>
  <c r="F45" i="1"/>
  <c r="G45" i="1" s="1"/>
  <c r="K45" i="1" s="1"/>
  <c r="E30" i="2"/>
  <c r="E21" i="2"/>
  <c r="F32" i="1"/>
  <c r="G32" i="1" s="1"/>
  <c r="I32" i="1" s="1"/>
  <c r="F42" i="1"/>
  <c r="G42" i="1" s="1"/>
  <c r="K42" i="1" s="1"/>
  <c r="E27" i="2"/>
  <c r="E35" i="2"/>
  <c r="F49" i="1"/>
  <c r="G49" i="1" s="1"/>
  <c r="I49" i="1" s="1"/>
  <c r="E28" i="2"/>
  <c r="F43" i="1"/>
  <c r="G43" i="1" s="1"/>
  <c r="K43" i="1" s="1"/>
  <c r="E18" i="2"/>
  <c r="F29" i="1"/>
  <c r="G29" i="1" s="1"/>
  <c r="I29" i="1" s="1"/>
  <c r="F41" i="1"/>
  <c r="G41" i="1" s="1"/>
  <c r="K41" i="1" s="1"/>
  <c r="E26" i="2"/>
  <c r="F44" i="1"/>
  <c r="G44" i="1" s="1"/>
  <c r="K44" i="1" s="1"/>
  <c r="E29" i="2"/>
  <c r="E36" i="2"/>
  <c r="F50" i="1"/>
  <c r="G50" i="1" s="1"/>
  <c r="I50" i="1" s="1"/>
  <c r="E31" i="2"/>
  <c r="F46" i="1"/>
  <c r="G46" i="1" s="1"/>
  <c r="K46" i="1" s="1"/>
  <c r="F48" i="1"/>
  <c r="G48" i="1" s="1"/>
  <c r="E33" i="2"/>
  <c r="F26" i="1"/>
  <c r="G26" i="1" s="1"/>
  <c r="I26" i="1" s="1"/>
  <c r="E15" i="2"/>
  <c r="C12" i="1"/>
  <c r="C11" i="1"/>
  <c r="O39" i="1" l="1"/>
  <c r="O42" i="1"/>
  <c r="O41" i="1"/>
  <c r="O46" i="1"/>
  <c r="O34" i="1"/>
  <c r="O43" i="1"/>
  <c r="O33" i="1"/>
  <c r="O35" i="1"/>
  <c r="O48" i="1"/>
  <c r="O37" i="1"/>
  <c r="O36" i="1"/>
  <c r="O51" i="1"/>
  <c r="O32" i="1"/>
  <c r="O50" i="1"/>
  <c r="O49" i="1"/>
  <c r="O38" i="1"/>
  <c r="O40" i="1"/>
  <c r="C15" i="1"/>
  <c r="O47" i="1"/>
  <c r="O44" i="1"/>
  <c r="O45" i="1"/>
  <c r="C16" i="1"/>
  <c r="D18" i="1" s="1"/>
  <c r="J48" i="1"/>
  <c r="F18" i="1" l="1"/>
  <c r="F19" i="1" s="1"/>
  <c r="C18" i="1"/>
</calcChain>
</file>

<file path=xl/sharedStrings.xml><?xml version="1.0" encoding="utf-8"?>
<sst xmlns="http://schemas.openxmlformats.org/spreadsheetml/2006/main" count="322" uniqueCount="183">
  <si>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</si>
  <si>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</si>
  <si>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</si>
  <si>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</si>
  <si>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</si>
  <si>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</si>
  <si>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</si>
  <si>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</si>
  <si>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</si>
  <si>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</si>
  <si>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</si>
  <si>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</si>
  <si>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</si>
  <si>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</si>
  <si>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</si>
  <si>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</si>
  <si>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</si>
  <si>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</si>
  <si>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</si>
  <si>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</si>
  <si>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</si>
  <si>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</si>
  <si>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</si>
  <si>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</si>
  <si>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</si>
  <si>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</si>
  <si>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</si>
  <si>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</si>
  <si>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</si>
  <si>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Bull.81</t>
  </si>
  <si>
    <t>B</t>
  </si>
  <si>
    <t>BBSAG Bull.84</t>
  </si>
  <si>
    <t>BBSAG Bull.85</t>
  </si>
  <si>
    <t>BBSAG Bull.86</t>
  </si>
  <si>
    <t>BBSAG Bull.88</t>
  </si>
  <si>
    <t>BBSAG Bull.89</t>
  </si>
  <si>
    <t>BBSAG Bull.92</t>
  </si>
  <si>
    <t>BBSAG Bull.96</t>
  </si>
  <si>
    <t>BBSAG Bull.104</t>
  </si>
  <si>
    <t>BBSAG Bull.106</t>
  </si>
  <si>
    <t>BBSAG Bull.109</t>
  </si>
  <si>
    <t>BBSAG Bull.110</t>
  </si>
  <si>
    <t>BBSAG Bull.117</t>
  </si>
  <si>
    <t>bad?</t>
  </si>
  <si>
    <t>IBVS 5263</t>
  </si>
  <si>
    <t>I</t>
  </si>
  <si>
    <t>IBVS 4887</t>
  </si>
  <si>
    <t>IBVS 4888</t>
  </si>
  <si>
    <t>IBVS 5543</t>
  </si>
  <si>
    <t>EA/SD</t>
  </si>
  <si>
    <t># of data points:</t>
  </si>
  <si>
    <t>V1048 Cyg / GSC 03937-02100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</si>
  <si>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</si>
  <si>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</si>
  <si>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</si>
  <si>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</si>
  <si>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</si>
  <si>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</si>
  <si>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</si>
  <si>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</si>
  <si>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CCD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</si>
  <si>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</si>
  <si>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</si>
  <si>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</si>
  <si>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</si>
  <si>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</si>
  <si>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</si>
  <si>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</si>
  <si>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</si>
  <si>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</si>
  <si>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</si>
  <si>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</si>
  <si>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2446678.600 </t>
  </si>
  <si>
    <t> 05.09.1986 02:24 </t>
  </si>
  <si>
    <t> -0.006 </t>
  </si>
  <si>
    <t>V </t>
  </si>
  <si>
    <t> K.Locher </t>
  </si>
  <si>
    <t> BBS 81 </t>
  </si>
  <si>
    <t>2446923.532 </t>
  </si>
  <si>
    <t> 08.05.1987 00:46 </t>
  </si>
  <si>
    <t> -0.008 </t>
  </si>
  <si>
    <t> BBS 84 </t>
  </si>
  <si>
    <t>2446972.517 </t>
  </si>
  <si>
    <t> 26.06.1987 00:24 </t>
  </si>
  <si>
    <t> -0.010 </t>
  </si>
  <si>
    <t>2447024.485 </t>
  </si>
  <si>
    <t> 16.08.1987 23:38 </t>
  </si>
  <si>
    <t> 0.003 </t>
  </si>
  <si>
    <t> BBS 85 </t>
  </si>
  <si>
    <t>2447166.244 </t>
  </si>
  <si>
    <t> 05.01.1988 17:51 </t>
  </si>
  <si>
    <t> BBS 86 </t>
  </si>
  <si>
    <t>2447303.561 </t>
  </si>
  <si>
    <t> 22.05.1988 01:27 </t>
  </si>
  <si>
    <t> 0.002 </t>
  </si>
  <si>
    <t> BBS 88 </t>
  </si>
  <si>
    <t>2447430.476 </t>
  </si>
  <si>
    <t> 25.09.1988 23:25 </t>
  </si>
  <si>
    <t> BBS 89 </t>
  </si>
  <si>
    <t>2447689.516 </t>
  </si>
  <si>
    <t> 12.06.1989 00:23 </t>
  </si>
  <si>
    <t> 0.001 </t>
  </si>
  <si>
    <t> BBS 92 </t>
  </si>
  <si>
    <t>2448127.429 </t>
  </si>
  <si>
    <t> 23.08.1990 22:17 </t>
  </si>
  <si>
    <t> BBS 96 </t>
  </si>
  <si>
    <t>2449158.385 </t>
  </si>
  <si>
    <t> 19.06.1993 21:14 </t>
  </si>
  <si>
    <t> 0.009 </t>
  </si>
  <si>
    <t> BBS 104 </t>
  </si>
  <si>
    <t>2449480.511 </t>
  </si>
  <si>
    <t> 08.05.1994 00:15 </t>
  </si>
  <si>
    <t> BBS 106 </t>
  </si>
  <si>
    <t>2449866.476 </t>
  </si>
  <si>
    <t> 28.05.1995 23:25 </t>
  </si>
  <si>
    <t> 0.018 </t>
  </si>
  <si>
    <t> BBS 109 </t>
  </si>
  <si>
    <t>2449999.327 </t>
  </si>
  <si>
    <t> 08.10.1995 19:50 </t>
  </si>
  <si>
    <t> 0.011 </t>
  </si>
  <si>
    <t> BBS 110 </t>
  </si>
  <si>
    <t>2450609.4406 </t>
  </si>
  <si>
    <t> 09.06.1997 22:34 </t>
  </si>
  <si>
    <t> 0.0164 </t>
  </si>
  <si>
    <t>E </t>
  </si>
  <si>
    <t>?</t>
  </si>
  <si>
    <t> J.Safar </t>
  </si>
  <si>
    <t>IBVS 4887 </t>
  </si>
  <si>
    <t>2450658.4289 </t>
  </si>
  <si>
    <t> 28.07.1997 22:17 </t>
  </si>
  <si>
    <t> 0.0179 </t>
  </si>
  <si>
    <t>2450934.532 </t>
  </si>
  <si>
    <t> 01.05.1998 00:46 </t>
  </si>
  <si>
    <t> 0.014 </t>
  </si>
  <si>
    <t> BBS 117 </t>
  </si>
  <si>
    <t>2450943.4402 </t>
  </si>
  <si>
    <t> 09.05.1998 22:33 </t>
  </si>
  <si>
    <t> 0.0152 </t>
  </si>
  <si>
    <t> M.Zejda </t>
  </si>
  <si>
    <t>IBVS 4888 </t>
  </si>
  <si>
    <t>2451142.3596 </t>
  </si>
  <si>
    <t> 24.11.1998 20:37 </t>
  </si>
  <si>
    <t> 0.0185 </t>
  </si>
  <si>
    <t>2451375.4184 </t>
  </si>
  <si>
    <t> 15.07.1999 22:02 </t>
  </si>
  <si>
    <t> 0.0190 </t>
  </si>
  <si>
    <t>IBVS 5263 </t>
  </si>
  <si>
    <t>2451732.42770 </t>
  </si>
  <si>
    <t> 06.07.2000 22:15 </t>
  </si>
  <si>
    <t> 0.01856 </t>
  </si>
  <si>
    <t>C </t>
  </si>
  <si>
    <t>o</t>
  </si>
  <si>
    <t> P.Hájek </t>
  </si>
  <si>
    <t>OEJV 0074 </t>
  </si>
  <si>
    <t>2451752.46360 </t>
  </si>
  <si>
    <t> 26.07.2000 23:07 </t>
  </si>
  <si>
    <t> 0.01442 </t>
  </si>
  <si>
    <t>2451833.36713 </t>
  </si>
  <si>
    <t> 15.10.2000 20:48 </t>
  </si>
  <si>
    <t> 0.01553 </t>
  </si>
  <si>
    <t> J.Šafár </t>
  </si>
  <si>
    <t>2453163.429 </t>
  </si>
  <si>
    <t> 06.06.2004 22:17 </t>
  </si>
  <si>
    <t> 0.012 </t>
  </si>
  <si>
    <t> BBS 130 </t>
  </si>
  <si>
    <t>2454241.4999 </t>
  </si>
  <si>
    <t> 20.05.2007 23:59 </t>
  </si>
  <si>
    <t> 0.0025 </t>
  </si>
  <si>
    <t>-I</t>
  </si>
  <si>
    <t> F.Agerer </t>
  </si>
  <si>
    <t>BAVM 186 </t>
  </si>
  <si>
    <t>2455073.5378 </t>
  </si>
  <si>
    <t> 30.08.2009 00:54 </t>
  </si>
  <si>
    <t>36890.5</t>
  </si>
  <si>
    <t> 0.0073 </t>
  </si>
  <si>
    <t>BAVM 212 </t>
  </si>
  <si>
    <t>2455075.3902 </t>
  </si>
  <si>
    <t> 31.08.2009 21:21 </t>
  </si>
  <si>
    <t>36893</t>
  </si>
  <si>
    <t> 0.0042 </t>
  </si>
  <si>
    <t>II</t>
  </si>
  <si>
    <t>BAD?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</si>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</sst>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1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5" fillId="0" borderId="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15" fillId="0" borderId="0" xfId="8" applyFont="1"/>
    <xf numFmtId="0" fontId="15" fillId="0" borderId="0" xfId="8" applyFont="1" applyAlignment="1">
      <alignment horizontal="center"/>
    </xf>
    <xf numFmtId="0" fontId="15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V1048 Cyg - O-C Diagr.</a:t>
            </a:r>
          </a:p>
        </c:rich>
      </c:tx>
      <c:layout>
        <c:manualLayout>
          <c:xMode val="edge"/>
          <c:yMode val="edge"/>
          <c:x val="0.3587306586676665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769252958613219"/>
          <c:w val="0.8111123684157496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D-4DA6-9157-16B8F22D17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-5.9200000032433309E-3</c:v>
                </c:pt>
                <c:pt idx="2">
                  <c:v>-7.8399999983957969E-3</c:v>
                </c:pt>
                <c:pt idx="3">
                  <c:v>-9.6239999984391034E-3</c:v>
                </c:pt>
                <c:pt idx="4">
                  <c:v>2.6959999959217384E-3</c:v>
                </c:pt>
                <c:pt idx="5">
                  <c:v>-3.0880000049364753E-3</c:v>
                </c:pt>
                <c:pt idx="6">
                  <c:v>2.4720000074012205E-3</c:v>
                </c:pt>
                <c:pt idx="7">
                  <c:v>-2.8319999983068556E-3</c:v>
                </c:pt>
                <c:pt idx="8">
                  <c:v>9.9200000113341957E-4</c:v>
                </c:pt>
                <c:pt idx="9">
                  <c:v>1.8320000017411076E-3</c:v>
                </c:pt>
                <c:pt idx="10">
                  <c:v>8.6959999971440993E-3</c:v>
                </c:pt>
                <c:pt idx="11">
                  <c:v>9.4800000006216578E-3</c:v>
                </c:pt>
                <c:pt idx="13">
                  <c:v>1.8000000003667083E-2</c:v>
                </c:pt>
                <c:pt idx="19">
                  <c:v>1.3663999998243526E-2</c:v>
                </c:pt>
                <c:pt idx="28">
                  <c:v>7.3279999996884726E-3</c:v>
                </c:pt>
                <c:pt idx="29">
                  <c:v>4.1680000067572109E-3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ED-4DA6-9157-16B8F22D17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Active!$D$21:$D$940</c:f>
                <c:numCache>
                  <c:formatCode>General</c:formatCode>
                  <c:ptCount val="920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Active!$D$21:$D$940</c:f>
                <c:numCache>
                  <c:formatCode>General</c:formatCode>
                  <c:ptCount val="920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6">
                  <c:v>1.1991999992460478E-2</c:v>
                </c:pt>
                <c:pt idx="27">
                  <c:v>2.532000005885493E-3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ED-4DA6-9157-16B8F22D17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4">
                  <c:v>1.0904000002483372E-2</c:v>
                </c:pt>
                <c:pt idx="15">
                  <c:v>1.6375999999581836E-2</c:v>
                </c:pt>
                <c:pt idx="16">
                  <c:v>1.6375999999581836E-2</c:v>
                </c:pt>
                <c:pt idx="17">
                  <c:v>1.7892000003485009E-2</c:v>
                </c:pt>
                <c:pt idx="18">
                  <c:v>1.7892000003485009E-2</c:v>
                </c:pt>
                <c:pt idx="20">
                  <c:v>1.5176000000792556E-2</c:v>
                </c:pt>
                <c:pt idx="21">
                  <c:v>1.8543999998655636E-2</c:v>
                </c:pt>
                <c:pt idx="22">
                  <c:v>1.9008000002941117E-2</c:v>
                </c:pt>
                <c:pt idx="23">
                  <c:v>1.8563999998150393E-2</c:v>
                </c:pt>
                <c:pt idx="24">
                  <c:v>1.4416000005439855E-2</c:v>
                </c:pt>
                <c:pt idx="25">
                  <c:v>1.5530000004218891E-2</c:v>
                </c:pt>
                <c:pt idx="30">
                  <c:v>1.5993999841157347E-2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ED-4DA6-9157-16B8F22D17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ED-4DA6-9157-16B8F22D17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ED-4DA6-9157-16B8F22D17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ED-4DA6-9157-16B8F22D17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1">
                  <c:v>-1.4278917857502266E-2</c:v>
                </c:pt>
                <c:pt idx="12">
                  <c:v>-1.2981848551707309E-2</c:v>
                </c:pt>
                <c:pt idx="13">
                  <c:v>-1.2903839286628915E-2</c:v>
                </c:pt>
                <c:pt idx="14">
                  <c:v>-1.243049493242443E-2</c:v>
                </c:pt>
                <c:pt idx="15">
                  <c:v>-1.025681303769771E-2</c:v>
                </c:pt>
                <c:pt idx="16">
                  <c:v>-1.025681303769771E-2</c:v>
                </c:pt>
                <c:pt idx="17">
                  <c:v>-1.0082283834471475E-2</c:v>
                </c:pt>
                <c:pt idx="18">
                  <c:v>-1.0082283834471475E-2</c:v>
                </c:pt>
                <c:pt idx="19">
                  <c:v>-9.0985737799236105E-3</c:v>
                </c:pt>
                <c:pt idx="20">
                  <c:v>-9.0668411975188407E-3</c:v>
                </c:pt>
                <c:pt idx="21">
                  <c:v>-8.3581468571456569E-3</c:v>
                </c:pt>
                <c:pt idx="22">
                  <c:v>-7.5278109508875174E-3</c:v>
                </c:pt>
                <c:pt idx="23">
                  <c:v>-6.255863272829662E-3</c:v>
                </c:pt>
                <c:pt idx="24">
                  <c:v>-6.184464962418923E-3</c:v>
                </c:pt>
                <c:pt idx="25">
                  <c:v>-5.8962273389089326E-3</c:v>
                </c:pt>
                <c:pt idx="26">
                  <c:v>-1.1574950331299932E-3</c:v>
                </c:pt>
                <c:pt idx="27">
                  <c:v>2.6834696287806742E-3</c:v>
                </c:pt>
                <c:pt idx="28">
                  <c:v>5.6478217017595783E-3</c:v>
                </c:pt>
                <c:pt idx="29">
                  <c:v>5.6544326564272329E-3</c:v>
                </c:pt>
                <c:pt idx="30">
                  <c:v>1.6036275866521052E-2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ED-4DA6-9157-16B8F22D17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-8.6391999997431412E-2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ED-4DA6-9157-16B8F22D1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70328"/>
        <c:axId val="1"/>
      </c:scatterChart>
      <c:valAx>
        <c:axId val="65897032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570387034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7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66699995833853"/>
          <c:y val="0.92000129214617399"/>
          <c:w val="0.7634932300129150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V1048 Cyg - O-C Diagr.</a:t>
            </a:r>
          </a:p>
        </c:rich>
      </c:tx>
      <c:layout>
        <c:manualLayout>
          <c:xMode val="edge"/>
          <c:yMode val="edge"/>
          <c:x val="0.359746766994854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723926380368099"/>
          <c:w val="0.812995874755375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F-4D02-9FF7-FB052423A2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-5.9200000032433309E-3</c:v>
                </c:pt>
                <c:pt idx="2">
                  <c:v>-7.8399999983957969E-3</c:v>
                </c:pt>
                <c:pt idx="3">
                  <c:v>-9.6239999984391034E-3</c:v>
                </c:pt>
                <c:pt idx="4">
                  <c:v>2.6959999959217384E-3</c:v>
                </c:pt>
                <c:pt idx="5">
                  <c:v>-3.0880000049364753E-3</c:v>
                </c:pt>
                <c:pt idx="6">
                  <c:v>2.4720000074012205E-3</c:v>
                </c:pt>
                <c:pt idx="7">
                  <c:v>-2.8319999983068556E-3</c:v>
                </c:pt>
                <c:pt idx="8">
                  <c:v>9.9200000113341957E-4</c:v>
                </c:pt>
                <c:pt idx="9">
                  <c:v>1.8320000017411076E-3</c:v>
                </c:pt>
                <c:pt idx="10">
                  <c:v>8.6959999971440993E-3</c:v>
                </c:pt>
                <c:pt idx="11">
                  <c:v>9.4800000006216578E-3</c:v>
                </c:pt>
                <c:pt idx="13">
                  <c:v>1.8000000003667083E-2</c:v>
                </c:pt>
                <c:pt idx="19">
                  <c:v>1.3663999998243526E-2</c:v>
                </c:pt>
                <c:pt idx="28">
                  <c:v>7.3279999996884726E-3</c:v>
                </c:pt>
                <c:pt idx="29">
                  <c:v>4.1680000067572109E-3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F-4D02-9FF7-FB052423A2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Active!$D$21:$D$940</c:f>
                <c:numCache>
                  <c:formatCode>General</c:formatCode>
                  <c:ptCount val="920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Active!$D$21:$D$940</c:f>
                <c:numCache>
                  <c:formatCode>General</c:formatCode>
                  <c:ptCount val="920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6">
                  <c:v>1.1991999992460478E-2</c:v>
                </c:pt>
                <c:pt idx="27">
                  <c:v>2.532000005885493E-3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CF-4D02-9FF7-FB052423A2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4">
                  <c:v>1.0904000002483372E-2</c:v>
                </c:pt>
                <c:pt idx="15">
                  <c:v>1.6375999999581836E-2</c:v>
                </c:pt>
                <c:pt idx="16">
                  <c:v>1.6375999999581836E-2</c:v>
                </c:pt>
                <c:pt idx="17">
                  <c:v>1.7892000003485009E-2</c:v>
                </c:pt>
                <c:pt idx="18">
                  <c:v>1.7892000003485009E-2</c:v>
                </c:pt>
                <c:pt idx="20">
                  <c:v>1.5176000000792556E-2</c:v>
                </c:pt>
                <c:pt idx="21">
                  <c:v>1.8543999998655636E-2</c:v>
                </c:pt>
                <c:pt idx="22">
                  <c:v>1.9008000002941117E-2</c:v>
                </c:pt>
                <c:pt idx="23">
                  <c:v>1.8563999998150393E-2</c:v>
                </c:pt>
                <c:pt idx="24">
                  <c:v>1.4416000005439855E-2</c:v>
                </c:pt>
                <c:pt idx="25">
                  <c:v>1.5530000004218891E-2</c:v>
                </c:pt>
                <c:pt idx="30">
                  <c:v>1.5993999841157347E-2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F-4D02-9FF7-FB052423A2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CF-4D02-9FF7-FB052423A2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CF-4D02-9FF7-FB052423A2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0">
                    <c:v>5.0000000000000001E-3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1.4E-3</c:v>
                  </c:pt>
                  <c:pt idx="16">
                    <c:v>1.4E-3</c:v>
                  </c:pt>
                  <c:pt idx="17">
                    <c:v>1.4E-3</c:v>
                  </c:pt>
                  <c:pt idx="18">
                    <c:v>1.4E-3</c:v>
                  </c:pt>
                  <c:pt idx="19">
                    <c:v>8.0000000000000002E-3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3.5000000000000001E-3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2.5000000000000001E-3</c:v>
                  </c:pt>
                  <c:pt idx="26">
                    <c:v>2E-3</c:v>
                  </c:pt>
                  <c:pt idx="27">
                    <c:v>2.3E-3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CF-4D02-9FF7-FB052423A2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1">
                  <c:v>-1.4278917857502266E-2</c:v>
                </c:pt>
                <c:pt idx="12">
                  <c:v>-1.2981848551707309E-2</c:v>
                </c:pt>
                <c:pt idx="13">
                  <c:v>-1.2903839286628915E-2</c:v>
                </c:pt>
                <c:pt idx="14">
                  <c:v>-1.243049493242443E-2</c:v>
                </c:pt>
                <c:pt idx="15">
                  <c:v>-1.025681303769771E-2</c:v>
                </c:pt>
                <c:pt idx="16">
                  <c:v>-1.025681303769771E-2</c:v>
                </c:pt>
                <c:pt idx="17">
                  <c:v>-1.0082283834471475E-2</c:v>
                </c:pt>
                <c:pt idx="18">
                  <c:v>-1.0082283834471475E-2</c:v>
                </c:pt>
                <c:pt idx="19">
                  <c:v>-9.0985737799236105E-3</c:v>
                </c:pt>
                <c:pt idx="20">
                  <c:v>-9.0668411975188407E-3</c:v>
                </c:pt>
                <c:pt idx="21">
                  <c:v>-8.3581468571456569E-3</c:v>
                </c:pt>
                <c:pt idx="22">
                  <c:v>-7.5278109508875174E-3</c:v>
                </c:pt>
                <c:pt idx="23">
                  <c:v>-6.255863272829662E-3</c:v>
                </c:pt>
                <c:pt idx="24">
                  <c:v>-6.184464962418923E-3</c:v>
                </c:pt>
                <c:pt idx="25">
                  <c:v>-5.8962273389089326E-3</c:v>
                </c:pt>
                <c:pt idx="26">
                  <c:v>-1.1574950331299932E-3</c:v>
                </c:pt>
                <c:pt idx="27">
                  <c:v>2.6834696287806742E-3</c:v>
                </c:pt>
                <c:pt idx="28">
                  <c:v>5.6478217017595783E-3</c:v>
                </c:pt>
                <c:pt idx="29">
                  <c:v>5.6544326564272329E-3</c:v>
                </c:pt>
                <c:pt idx="30">
                  <c:v>1.6036275866521052E-2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CF-4D02-9FF7-FB052423A21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25580</c:v>
                </c:pt>
                <c:pt idx="2">
                  <c:v>25910</c:v>
                </c:pt>
                <c:pt idx="3">
                  <c:v>25976</c:v>
                </c:pt>
                <c:pt idx="4">
                  <c:v>26046</c:v>
                </c:pt>
                <c:pt idx="5">
                  <c:v>26237</c:v>
                </c:pt>
                <c:pt idx="6">
                  <c:v>26422</c:v>
                </c:pt>
                <c:pt idx="7">
                  <c:v>26593</c:v>
                </c:pt>
                <c:pt idx="8">
                  <c:v>26942</c:v>
                </c:pt>
                <c:pt idx="9">
                  <c:v>27532</c:v>
                </c:pt>
                <c:pt idx="10">
                  <c:v>28921</c:v>
                </c:pt>
                <c:pt idx="11">
                  <c:v>29355</c:v>
                </c:pt>
                <c:pt idx="12">
                  <c:v>29845.5</c:v>
                </c:pt>
                <c:pt idx="13">
                  <c:v>29875</c:v>
                </c:pt>
                <c:pt idx="14">
                  <c:v>30054</c:v>
                </c:pt>
                <c:pt idx="15">
                  <c:v>30876</c:v>
                </c:pt>
                <c:pt idx="16">
                  <c:v>30876</c:v>
                </c:pt>
                <c:pt idx="17">
                  <c:v>30942</c:v>
                </c:pt>
                <c:pt idx="18">
                  <c:v>30942</c:v>
                </c:pt>
                <c:pt idx="19">
                  <c:v>31314</c:v>
                </c:pt>
                <c:pt idx="20">
                  <c:v>31326</c:v>
                </c:pt>
                <c:pt idx="21">
                  <c:v>31594</c:v>
                </c:pt>
                <c:pt idx="22">
                  <c:v>31908</c:v>
                </c:pt>
                <c:pt idx="23">
                  <c:v>32389</c:v>
                </c:pt>
                <c:pt idx="24">
                  <c:v>32416</c:v>
                </c:pt>
                <c:pt idx="25">
                  <c:v>32525</c:v>
                </c:pt>
                <c:pt idx="26">
                  <c:v>34317</c:v>
                </c:pt>
                <c:pt idx="27">
                  <c:v>35769.5</c:v>
                </c:pt>
                <c:pt idx="28">
                  <c:v>36890.5</c:v>
                </c:pt>
                <c:pt idx="29">
                  <c:v>36893</c:v>
                </c:pt>
                <c:pt idx="30">
                  <c:v>40819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-8.6391999997431412E-2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CF-4D02-9FF7-FB052423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66008"/>
        <c:axId val="1"/>
      </c:scatterChart>
      <c:valAx>
        <c:axId val="658966008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66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98748809330688"/>
          <c:y val="0.92024539877300615"/>
          <c:w val="0.762282757444542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45C0FA6-45B6-146F-2DFF-7735C572B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504825</xdr:colOff>
      <xdr:row>0</xdr:row>
      <xdr:rowOff>0</xdr:rowOff>
    </xdr:from>
    <xdr:to>
      <xdr:col>25</xdr:col>
      <xdr:colOff>371475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F25A8E-8989-195E-D685-2E45A8DBB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4888" TargetMode="External"/><Relationship Id="rId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5263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116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24</v>
      </c>
      <c r="B2" s="16" t="s">
        <v>49</v>
      </c>
    </row>
    <row r="4" spans="1:6" ht="14.25" thickTop="1" thickBot="1" x14ac:dyDescent="0.25">
      <c r="A4" s="7" t="s">
        <v>0</v>
      </c>
      <c r="C4" s="3">
        <v>27692.516</v>
      </c>
      <c r="D4" s="4">
        <v>0.74222399999999999</v>
      </c>
    </row>
    <row r="5" spans="1:6" ht="13.5" thickTop="1" x14ac:dyDescent="0.2">
      <c r="A5" s="17" t="s">
        <v>52</v>
      </c>
      <c r="B5" s="15"/>
      <c r="C5" s="18">
        <v>-9.5</v>
      </c>
      <c r="D5" s="15" t="s">
        <v>53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27692.516</v>
      </c>
    </row>
    <row r="8" spans="1:6" x14ac:dyDescent="0.2">
      <c r="A8" t="s">
        <v>3</v>
      </c>
      <c r="C8">
        <f>+D4</f>
        <v>0.74222399999999999</v>
      </c>
    </row>
    <row r="9" spans="1:6" x14ac:dyDescent="0.2">
      <c r="A9" s="30" t="s">
        <v>58</v>
      </c>
      <c r="B9" s="31">
        <v>48</v>
      </c>
      <c r="C9" s="29" t="str">
        <f>"F"&amp;B9</f>
        <v>F48</v>
      </c>
      <c r="D9" s="10" t="str">
        <f>"G"&amp;B9</f>
        <v>G48</v>
      </c>
    </row>
    <row r="10" spans="1:6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6" x14ac:dyDescent="0.2">
      <c r="A11" s="15" t="s">
        <v>16</v>
      </c>
      <c r="B11" s="15"/>
      <c r="C11" s="28">
        <f ca="1">INTERCEPT(INDIRECT($D$9):G991,INDIRECT($C$9):F991)</f>
        <v>-9.1904747565170142E-2</v>
      </c>
      <c r="D11" s="5"/>
      <c r="E11" s="15"/>
    </row>
    <row r="12" spans="1:6" x14ac:dyDescent="0.2">
      <c r="A12" s="15" t="s">
        <v>17</v>
      </c>
      <c r="B12" s="15"/>
      <c r="C12" s="28">
        <f ca="1">SLOPE(INDIRECT($D$9):G991,INDIRECT($C$9):F991)</f>
        <v>2.6443818670641416E-6</v>
      </c>
      <c r="D12" s="5"/>
      <c r="E12" s="15"/>
    </row>
    <row r="13" spans="1:6" x14ac:dyDescent="0.2">
      <c r="A13" s="15" t="s">
        <v>19</v>
      </c>
      <c r="B13" s="15"/>
      <c r="C13" s="5" t="s">
        <v>14</v>
      </c>
    </row>
    <row r="14" spans="1:6" x14ac:dyDescent="0.2">
      <c r="A14" s="15"/>
      <c r="B14" s="15"/>
      <c r="C14" s="15"/>
    </row>
    <row r="15" spans="1:6" x14ac:dyDescent="0.2">
      <c r="A15" s="19" t="s">
        <v>18</v>
      </c>
      <c r="B15" s="15"/>
      <c r="C15" s="13">
        <f ca="1">(C7+C11)+(C8+C12)*INT(MAX(F21:F3532))</f>
        <v>57989.373492275859</v>
      </c>
      <c r="E15" s="5"/>
      <c r="F15" s="15"/>
    </row>
    <row r="16" spans="1:6" x14ac:dyDescent="0.2">
      <c r="A16" s="22" t="s">
        <v>4</v>
      </c>
      <c r="B16" s="15"/>
      <c r="C16" s="23">
        <f ca="1">+C8+C12</f>
        <v>0.74222664438186703</v>
      </c>
      <c r="E16" s="15"/>
      <c r="F16" s="15"/>
    </row>
    <row r="17" spans="1:31" ht="13.5" thickBot="1" x14ac:dyDescent="0.25">
      <c r="A17" s="20" t="s">
        <v>50</v>
      </c>
      <c r="B17" s="15"/>
      <c r="C17" s="15">
        <f>COUNT(C21:C2190)</f>
        <v>31</v>
      </c>
      <c r="E17" s="20" t="s">
        <v>54</v>
      </c>
      <c r="F17" s="21">
        <f ca="1">TODAY()+15018.5-B5/24</f>
        <v>60344.5</v>
      </c>
    </row>
    <row r="18" spans="1:31" ht="14.25" thickTop="1" thickBot="1" x14ac:dyDescent="0.25">
      <c r="A18" s="22" t="s">
        <v>5</v>
      </c>
      <c r="B18" s="15"/>
      <c r="C18" s="25">
        <f ca="1">+C15</f>
        <v>57989.373492275859</v>
      </c>
      <c r="D18" s="26">
        <f ca="1">+C16</f>
        <v>0.74222664438186703</v>
      </c>
      <c r="E18" s="20" t="s">
        <v>55</v>
      </c>
      <c r="F18" s="21">
        <f ca="1">ROUND(2*(F17-C15)/C16,0)/2+1</f>
        <v>3174</v>
      </c>
    </row>
    <row r="19" spans="1:31" ht="13.5" thickTop="1" x14ac:dyDescent="0.2">
      <c r="E19" s="20" t="s">
        <v>56</v>
      </c>
      <c r="F19" s="24">
        <f ca="1">+C15+C16*F18-15018.5-C5/24</f>
        <v>45327.09669487724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67</v>
      </c>
      <c r="I20" s="9" t="s">
        <v>70</v>
      </c>
      <c r="J20" s="9" t="s">
        <v>64</v>
      </c>
      <c r="K20" s="9" t="s">
        <v>60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0" t="s">
        <v>181</v>
      </c>
    </row>
    <row r="21" spans="1:31" x14ac:dyDescent="0.2">
      <c r="A21" s="51" t="s">
        <v>12</v>
      </c>
      <c r="C21" s="12">
        <v>27692.516</v>
      </c>
      <c r="D21" s="12"/>
      <c r="E21">
        <f t="shared" ref="E21:E50" si="0">+(C21-C$7)/C$8</f>
        <v>0</v>
      </c>
      <c r="F21">
        <f t="shared" ref="F21:F51" si="1">ROUND(2*E21,0)/2</f>
        <v>0</v>
      </c>
      <c r="G21">
        <f t="shared" ref="G21:G32" si="2">+C21-(C$7+F21*C$8)</f>
        <v>0</v>
      </c>
      <c r="H21">
        <f>+G21</f>
        <v>0</v>
      </c>
      <c r="Q21" s="2">
        <f t="shared" ref="Q21:Q50" si="3">+C21-15018.5</f>
        <v>12674.016</v>
      </c>
    </row>
    <row r="22" spans="1:31" x14ac:dyDescent="0.2">
      <c r="A22" t="s">
        <v>29</v>
      </c>
      <c r="B22" s="5"/>
      <c r="C22" s="32">
        <v>46678.6</v>
      </c>
      <c r="D22" s="32"/>
      <c r="E22">
        <f t="shared" si="0"/>
        <v>25579.992023971197</v>
      </c>
      <c r="F22">
        <f t="shared" si="1"/>
        <v>25580</v>
      </c>
      <c r="G22">
        <f t="shared" si="2"/>
        <v>-5.9200000032433309E-3</v>
      </c>
      <c r="I22">
        <f t="shared" ref="I22:I32" si="4">+G22</f>
        <v>-5.9200000032433309E-3</v>
      </c>
      <c r="Q22" s="2">
        <f t="shared" si="3"/>
        <v>31660.1</v>
      </c>
      <c r="AA22">
        <v>9</v>
      </c>
      <c r="AC22" t="s">
        <v>28</v>
      </c>
      <c r="AE22" t="s">
        <v>30</v>
      </c>
    </row>
    <row r="23" spans="1:31" x14ac:dyDescent="0.2">
      <c r="A23" t="s">
        <v>31</v>
      </c>
      <c r="B23" s="5"/>
      <c r="C23" s="32">
        <v>46923.531999999999</v>
      </c>
      <c r="D23" s="32"/>
      <c r="E23">
        <f t="shared" si="0"/>
        <v>25909.989437151049</v>
      </c>
      <c r="F23">
        <f t="shared" si="1"/>
        <v>25910</v>
      </c>
      <c r="G23">
        <f t="shared" si="2"/>
        <v>-7.8399999983957969E-3</v>
      </c>
      <c r="I23">
        <f t="shared" si="4"/>
        <v>-7.8399999983957969E-3</v>
      </c>
      <c r="Q23" s="2">
        <f t="shared" si="3"/>
        <v>31905.031999999999</v>
      </c>
      <c r="AA23">
        <v>6</v>
      </c>
      <c r="AC23" t="s">
        <v>28</v>
      </c>
      <c r="AE23" t="s">
        <v>30</v>
      </c>
    </row>
    <row r="24" spans="1:31" x14ac:dyDescent="0.2">
      <c r="A24" t="s">
        <v>31</v>
      </c>
      <c r="B24" s="5"/>
      <c r="C24" s="32">
        <v>46972.517</v>
      </c>
      <c r="D24" s="32"/>
      <c r="E24">
        <f t="shared" si="0"/>
        <v>25975.987033563993</v>
      </c>
      <c r="F24">
        <f t="shared" si="1"/>
        <v>25976</v>
      </c>
      <c r="G24">
        <f t="shared" si="2"/>
        <v>-9.6239999984391034E-3</v>
      </c>
      <c r="I24">
        <f t="shared" si="4"/>
        <v>-9.6239999984391034E-3</v>
      </c>
      <c r="Q24" s="2">
        <f t="shared" si="3"/>
        <v>31954.017</v>
      </c>
      <c r="AA24">
        <v>4</v>
      </c>
      <c r="AC24" t="s">
        <v>28</v>
      </c>
      <c r="AE24" t="s">
        <v>30</v>
      </c>
    </row>
    <row r="25" spans="1:31" x14ac:dyDescent="0.2">
      <c r="A25" t="s">
        <v>32</v>
      </c>
      <c r="B25" s="5"/>
      <c r="C25" s="32">
        <v>47024.485000000001</v>
      </c>
      <c r="D25" s="32"/>
      <c r="E25">
        <f t="shared" si="0"/>
        <v>26046.003632326632</v>
      </c>
      <c r="F25">
        <f t="shared" si="1"/>
        <v>26046</v>
      </c>
      <c r="G25">
        <f t="shared" si="2"/>
        <v>2.6959999959217384E-3</v>
      </c>
      <c r="I25">
        <f t="shared" si="4"/>
        <v>2.6959999959217384E-3</v>
      </c>
      <c r="Q25" s="2">
        <f t="shared" si="3"/>
        <v>32005.985000000001</v>
      </c>
      <c r="AA25">
        <v>6</v>
      </c>
      <c r="AC25" t="s">
        <v>28</v>
      </c>
      <c r="AE25" t="s">
        <v>30</v>
      </c>
    </row>
    <row r="26" spans="1:31" x14ac:dyDescent="0.2">
      <c r="A26" t="s">
        <v>33</v>
      </c>
      <c r="B26" s="5"/>
      <c r="C26" s="32">
        <v>47166.243999999999</v>
      </c>
      <c r="D26" s="32"/>
      <c r="E26">
        <f t="shared" si="0"/>
        <v>26236.995839530922</v>
      </c>
      <c r="F26">
        <f t="shared" si="1"/>
        <v>26237</v>
      </c>
      <c r="G26">
        <f t="shared" si="2"/>
        <v>-3.0880000049364753E-3</v>
      </c>
      <c r="I26">
        <f t="shared" si="4"/>
        <v>-3.0880000049364753E-3</v>
      </c>
      <c r="Q26" s="2">
        <f t="shared" si="3"/>
        <v>32147.743999999999</v>
      </c>
      <c r="AA26">
        <v>8</v>
      </c>
      <c r="AC26" t="s">
        <v>28</v>
      </c>
      <c r="AE26" t="s">
        <v>30</v>
      </c>
    </row>
    <row r="27" spans="1:31" x14ac:dyDescent="0.2">
      <c r="A27" t="s">
        <v>34</v>
      </c>
      <c r="B27" s="5"/>
      <c r="C27" s="32">
        <v>47303.561000000002</v>
      </c>
      <c r="D27" s="32"/>
      <c r="E27">
        <f t="shared" si="0"/>
        <v>26422.003330530948</v>
      </c>
      <c r="F27">
        <f t="shared" si="1"/>
        <v>26422</v>
      </c>
      <c r="G27">
        <f t="shared" si="2"/>
        <v>2.4720000074012205E-3</v>
      </c>
      <c r="I27">
        <f t="shared" si="4"/>
        <v>2.4720000074012205E-3</v>
      </c>
      <c r="Q27" s="2">
        <f t="shared" si="3"/>
        <v>32285.061000000002</v>
      </c>
      <c r="AA27">
        <v>6</v>
      </c>
      <c r="AC27" t="s">
        <v>28</v>
      </c>
      <c r="AE27" t="s">
        <v>30</v>
      </c>
    </row>
    <row r="28" spans="1:31" x14ac:dyDescent="0.2">
      <c r="A28" t="s">
        <v>35</v>
      </c>
      <c r="B28" s="5"/>
      <c r="C28" s="32">
        <v>47430.476000000002</v>
      </c>
      <c r="D28" s="32"/>
      <c r="E28">
        <f t="shared" si="0"/>
        <v>26592.996184440282</v>
      </c>
      <c r="F28">
        <f t="shared" si="1"/>
        <v>26593</v>
      </c>
      <c r="G28">
        <f t="shared" si="2"/>
        <v>-2.8319999983068556E-3</v>
      </c>
      <c r="I28">
        <f t="shared" si="4"/>
        <v>-2.8319999983068556E-3</v>
      </c>
      <c r="Q28" s="2">
        <f t="shared" si="3"/>
        <v>32411.976000000002</v>
      </c>
      <c r="AA28">
        <v>6</v>
      </c>
      <c r="AC28" t="s">
        <v>28</v>
      </c>
      <c r="AE28" t="s">
        <v>30</v>
      </c>
    </row>
    <row r="29" spans="1:31" x14ac:dyDescent="0.2">
      <c r="A29" t="s">
        <v>36</v>
      </c>
      <c r="B29" s="5"/>
      <c r="C29" s="32">
        <v>47689.516000000003</v>
      </c>
      <c r="D29" s="32"/>
      <c r="E29">
        <f t="shared" si="0"/>
        <v>26942.00133652375</v>
      </c>
      <c r="F29">
        <f t="shared" si="1"/>
        <v>26942</v>
      </c>
      <c r="G29">
        <f t="shared" si="2"/>
        <v>9.9200000113341957E-4</v>
      </c>
      <c r="I29">
        <f t="shared" si="4"/>
        <v>9.9200000113341957E-4</v>
      </c>
      <c r="Q29" s="2">
        <f t="shared" si="3"/>
        <v>32671.016000000003</v>
      </c>
      <c r="AA29">
        <v>6</v>
      </c>
      <c r="AC29" t="s">
        <v>28</v>
      </c>
      <c r="AE29" t="s">
        <v>30</v>
      </c>
    </row>
    <row r="30" spans="1:31" x14ac:dyDescent="0.2">
      <c r="A30" t="s">
        <v>37</v>
      </c>
      <c r="B30" s="5"/>
      <c r="C30" s="32">
        <v>48127.428999999996</v>
      </c>
      <c r="D30" s="32"/>
      <c r="E30">
        <f t="shared" si="0"/>
        <v>27532.002468257557</v>
      </c>
      <c r="F30">
        <f t="shared" si="1"/>
        <v>27532</v>
      </c>
      <c r="G30">
        <f t="shared" si="2"/>
        <v>1.8320000017411076E-3</v>
      </c>
      <c r="I30">
        <f t="shared" si="4"/>
        <v>1.8320000017411076E-3</v>
      </c>
      <c r="Q30" s="2">
        <f t="shared" si="3"/>
        <v>33108.928999999996</v>
      </c>
      <c r="AA30">
        <v>6</v>
      </c>
      <c r="AC30" t="s">
        <v>28</v>
      </c>
      <c r="AE30" t="s">
        <v>30</v>
      </c>
    </row>
    <row r="31" spans="1:31" x14ac:dyDescent="0.2">
      <c r="A31" t="s">
        <v>38</v>
      </c>
      <c r="B31" s="5"/>
      <c r="C31" s="32">
        <v>49158.385000000002</v>
      </c>
      <c r="D31" s="32">
        <v>5.0000000000000001E-3</v>
      </c>
      <c r="E31">
        <f t="shared" si="0"/>
        <v>28921.011716139605</v>
      </c>
      <c r="F31">
        <f t="shared" si="1"/>
        <v>28921</v>
      </c>
      <c r="G31">
        <f t="shared" si="2"/>
        <v>8.6959999971440993E-3</v>
      </c>
      <c r="I31">
        <f t="shared" si="4"/>
        <v>8.6959999971440993E-3</v>
      </c>
      <c r="Q31" s="2">
        <f t="shared" si="3"/>
        <v>34139.885000000002</v>
      </c>
      <c r="AA31">
        <v>6</v>
      </c>
      <c r="AC31" t="s">
        <v>28</v>
      </c>
      <c r="AE31" t="s">
        <v>30</v>
      </c>
    </row>
    <row r="32" spans="1:31" x14ac:dyDescent="0.2">
      <c r="A32" t="s">
        <v>39</v>
      </c>
      <c r="B32" s="5"/>
      <c r="C32" s="32">
        <v>49480.510999999999</v>
      </c>
      <c r="D32" s="32"/>
      <c r="E32">
        <f t="shared" si="0"/>
        <v>29355.012772424496</v>
      </c>
      <c r="F32">
        <f t="shared" si="1"/>
        <v>29355</v>
      </c>
      <c r="G32">
        <f t="shared" si="2"/>
        <v>9.4800000006216578E-3</v>
      </c>
      <c r="I32">
        <f t="shared" si="4"/>
        <v>9.4800000006216578E-3</v>
      </c>
      <c r="O32">
        <f t="shared" ref="O32:O50" ca="1" si="5">+C$11+C$12*F32</f>
        <v>-1.4278917857502266E-2</v>
      </c>
      <c r="Q32" s="2">
        <f t="shared" si="3"/>
        <v>34462.010999999999</v>
      </c>
      <c r="AA32">
        <v>6</v>
      </c>
      <c r="AC32" t="s">
        <v>28</v>
      </c>
      <c r="AE32" t="s">
        <v>30</v>
      </c>
    </row>
    <row r="33" spans="1:31" x14ac:dyDescent="0.2">
      <c r="A33" t="s">
        <v>40</v>
      </c>
      <c r="B33" s="13" t="s">
        <v>43</v>
      </c>
      <c r="C33" s="32">
        <v>49844.476000000002</v>
      </c>
      <c r="D33" s="32">
        <v>3.0000000000000001E-3</v>
      </c>
      <c r="E33">
        <f t="shared" si="0"/>
        <v>29845.383603871611</v>
      </c>
      <c r="F33">
        <f t="shared" si="1"/>
        <v>29845.5</v>
      </c>
      <c r="O33">
        <f t="shared" ca="1" si="5"/>
        <v>-1.2981848551707309E-2</v>
      </c>
      <c r="Q33" s="2">
        <f t="shared" si="3"/>
        <v>34825.976000000002</v>
      </c>
      <c r="U33" s="10">
        <v>-8.6391999997431412E-2</v>
      </c>
      <c r="AA33">
        <v>7</v>
      </c>
      <c r="AC33" t="s">
        <v>28</v>
      </c>
      <c r="AE33" t="s">
        <v>30</v>
      </c>
    </row>
    <row r="34" spans="1:31" x14ac:dyDescent="0.2">
      <c r="A34" s="47" t="s">
        <v>116</v>
      </c>
      <c r="B34" s="49" t="s">
        <v>45</v>
      </c>
      <c r="C34" s="48">
        <v>49866.476000000002</v>
      </c>
      <c r="D34" s="48" t="s">
        <v>70</v>
      </c>
      <c r="E34">
        <f t="shared" si="0"/>
        <v>29875.024251438921</v>
      </c>
      <c r="F34">
        <f t="shared" si="1"/>
        <v>29875</v>
      </c>
      <c r="G34">
        <f t="shared" ref="G34:G48" si="6">+C34-(C$7+F34*C$8)</f>
        <v>1.8000000003667083E-2</v>
      </c>
      <c r="I34">
        <f>+G34</f>
        <v>1.8000000003667083E-2</v>
      </c>
      <c r="O34">
        <f t="shared" ca="1" si="5"/>
        <v>-1.2903839286628915E-2</v>
      </c>
      <c r="Q34" s="2">
        <f t="shared" si="3"/>
        <v>34847.976000000002</v>
      </c>
    </row>
    <row r="35" spans="1:31" x14ac:dyDescent="0.2">
      <c r="A35" t="s">
        <v>41</v>
      </c>
      <c r="B35" s="5"/>
      <c r="C35" s="32">
        <v>49999.326999999997</v>
      </c>
      <c r="D35" s="32">
        <v>2E-3</v>
      </c>
      <c r="E35">
        <f t="shared" si="0"/>
        <v>30054.014690982774</v>
      </c>
      <c r="F35">
        <f t="shared" si="1"/>
        <v>30054</v>
      </c>
      <c r="G35">
        <f t="shared" si="6"/>
        <v>1.0904000002483372E-2</v>
      </c>
      <c r="K35">
        <f>+G35</f>
        <v>1.0904000002483372E-2</v>
      </c>
      <c r="O35">
        <f t="shared" ca="1" si="5"/>
        <v>-1.243049493242443E-2</v>
      </c>
      <c r="Q35" s="2">
        <f t="shared" si="3"/>
        <v>34980.826999999997</v>
      </c>
      <c r="AA35">
        <v>10</v>
      </c>
      <c r="AC35" t="s">
        <v>28</v>
      </c>
      <c r="AE35" t="s">
        <v>30</v>
      </c>
    </row>
    <row r="36" spans="1:31" x14ac:dyDescent="0.2">
      <c r="A36" t="s">
        <v>46</v>
      </c>
      <c r="B36" s="5"/>
      <c r="C36" s="32">
        <v>50609.440600000002</v>
      </c>
      <c r="D36" s="32">
        <v>1.4E-3</v>
      </c>
      <c r="E36">
        <f t="shared" si="0"/>
        <v>30876.022063420209</v>
      </c>
      <c r="F36">
        <f t="shared" si="1"/>
        <v>30876</v>
      </c>
      <c r="G36">
        <f t="shared" si="6"/>
        <v>1.6375999999581836E-2</v>
      </c>
      <c r="K36">
        <f>+G36</f>
        <v>1.6375999999581836E-2</v>
      </c>
      <c r="O36">
        <f t="shared" ca="1" si="5"/>
        <v>-1.025681303769771E-2</v>
      </c>
      <c r="Q36" s="2">
        <f t="shared" si="3"/>
        <v>35590.940600000002</v>
      </c>
    </row>
    <row r="37" spans="1:31" x14ac:dyDescent="0.2">
      <c r="A37" s="27" t="s">
        <v>46</v>
      </c>
      <c r="B37" s="5"/>
      <c r="C37" s="12">
        <v>50609.440600000002</v>
      </c>
      <c r="D37" s="12">
        <v>1.4E-3</v>
      </c>
      <c r="E37">
        <f t="shared" si="0"/>
        <v>30876.022063420209</v>
      </c>
      <c r="F37">
        <f t="shared" si="1"/>
        <v>30876</v>
      </c>
      <c r="G37">
        <f t="shared" si="6"/>
        <v>1.6375999999581836E-2</v>
      </c>
      <c r="K37">
        <f>+G37</f>
        <v>1.6375999999581836E-2</v>
      </c>
      <c r="O37">
        <f t="shared" ca="1" si="5"/>
        <v>-1.025681303769771E-2</v>
      </c>
      <c r="Q37" s="2">
        <f t="shared" si="3"/>
        <v>35590.940600000002</v>
      </c>
    </row>
    <row r="38" spans="1:31" x14ac:dyDescent="0.2">
      <c r="A38" t="s">
        <v>46</v>
      </c>
      <c r="B38" s="14"/>
      <c r="C38" s="32">
        <v>50658.428899999999</v>
      </c>
      <c r="D38" s="32">
        <v>1.4E-3</v>
      </c>
      <c r="E38">
        <f t="shared" si="0"/>
        <v>30942.024105930286</v>
      </c>
      <c r="F38">
        <f t="shared" si="1"/>
        <v>30942</v>
      </c>
      <c r="G38">
        <f t="shared" si="6"/>
        <v>1.7892000003485009E-2</v>
      </c>
      <c r="K38">
        <f>+G38</f>
        <v>1.7892000003485009E-2</v>
      </c>
      <c r="O38">
        <f t="shared" ca="1" si="5"/>
        <v>-1.0082283834471475E-2</v>
      </c>
      <c r="Q38" s="2">
        <f t="shared" si="3"/>
        <v>35639.928899999999</v>
      </c>
    </row>
    <row r="39" spans="1:31" x14ac:dyDescent="0.2">
      <c r="A39" s="27" t="s">
        <v>46</v>
      </c>
      <c r="B39" s="5"/>
      <c r="C39" s="12">
        <v>50658.428899999999</v>
      </c>
      <c r="D39" s="12">
        <v>1.4E-3</v>
      </c>
      <c r="E39">
        <f t="shared" si="0"/>
        <v>30942.024105930286</v>
      </c>
      <c r="F39">
        <f t="shared" si="1"/>
        <v>30942</v>
      </c>
      <c r="G39">
        <f t="shared" si="6"/>
        <v>1.7892000003485009E-2</v>
      </c>
      <c r="K39">
        <f>+G39</f>
        <v>1.7892000003485009E-2</v>
      </c>
      <c r="O39">
        <f t="shared" ca="1" si="5"/>
        <v>-1.0082283834471475E-2</v>
      </c>
      <c r="Q39" s="2">
        <f t="shared" si="3"/>
        <v>35639.928899999999</v>
      </c>
    </row>
    <row r="40" spans="1:31" x14ac:dyDescent="0.2">
      <c r="A40" t="s">
        <v>42</v>
      </c>
      <c r="B40" s="5"/>
      <c r="C40" s="32">
        <v>50934.531999999999</v>
      </c>
      <c r="D40" s="32">
        <v>8.0000000000000002E-3</v>
      </c>
      <c r="E40">
        <f t="shared" si="0"/>
        <v>31314.018409536744</v>
      </c>
      <c r="F40">
        <f t="shared" si="1"/>
        <v>31314</v>
      </c>
      <c r="G40">
        <f t="shared" si="6"/>
        <v>1.3663999998243526E-2</v>
      </c>
      <c r="I40">
        <f>+G40</f>
        <v>1.3663999998243526E-2</v>
      </c>
      <c r="O40">
        <f t="shared" ca="1" si="5"/>
        <v>-9.0985737799236105E-3</v>
      </c>
      <c r="Q40" s="2">
        <f t="shared" si="3"/>
        <v>35916.031999999999</v>
      </c>
      <c r="AA40">
        <v>4</v>
      </c>
      <c r="AC40" t="s">
        <v>28</v>
      </c>
      <c r="AE40" t="s">
        <v>30</v>
      </c>
    </row>
    <row r="41" spans="1:31" x14ac:dyDescent="0.2">
      <c r="A41" t="s">
        <v>47</v>
      </c>
      <c r="B41" s="12"/>
      <c r="C41" s="32">
        <v>50943.440199999997</v>
      </c>
      <c r="D41" s="32">
        <v>3.3E-3</v>
      </c>
      <c r="E41">
        <f t="shared" si="0"/>
        <v>31326.020446657611</v>
      </c>
      <c r="F41">
        <f t="shared" si="1"/>
        <v>31326</v>
      </c>
      <c r="G41">
        <f t="shared" si="6"/>
        <v>1.5176000000792556E-2</v>
      </c>
      <c r="K41">
        <f t="shared" ref="K41:K46" si="7">+G41</f>
        <v>1.5176000000792556E-2</v>
      </c>
      <c r="O41">
        <f t="shared" ca="1" si="5"/>
        <v>-9.0668411975188407E-3</v>
      </c>
      <c r="Q41" s="2">
        <f t="shared" si="3"/>
        <v>35924.940199999997</v>
      </c>
    </row>
    <row r="42" spans="1:31" x14ac:dyDescent="0.2">
      <c r="A42" t="s">
        <v>47</v>
      </c>
      <c r="B42" s="11"/>
      <c r="C42" s="32">
        <v>51142.359600000003</v>
      </c>
      <c r="D42" s="32">
        <v>1.4E-3</v>
      </c>
      <c r="E42">
        <f t="shared" si="0"/>
        <v>31594.024984371299</v>
      </c>
      <c r="F42">
        <f t="shared" si="1"/>
        <v>31594</v>
      </c>
      <c r="G42">
        <f t="shared" si="6"/>
        <v>1.8543999998655636E-2</v>
      </c>
      <c r="K42">
        <f t="shared" si="7"/>
        <v>1.8543999998655636E-2</v>
      </c>
      <c r="O42">
        <f t="shared" ca="1" si="5"/>
        <v>-8.3581468571456569E-3</v>
      </c>
      <c r="Q42" s="2">
        <f t="shared" si="3"/>
        <v>36123.859600000003</v>
      </c>
    </row>
    <row r="43" spans="1:31" x14ac:dyDescent="0.2">
      <c r="A43" s="52" t="s">
        <v>44</v>
      </c>
      <c r="B43" s="53" t="s">
        <v>45</v>
      </c>
      <c r="C43" s="54">
        <v>51375.418400000002</v>
      </c>
      <c r="D43" s="54">
        <v>3.5000000000000001E-3</v>
      </c>
      <c r="E43">
        <f t="shared" si="0"/>
        <v>31908.025609519504</v>
      </c>
      <c r="F43">
        <f t="shared" si="1"/>
        <v>31908</v>
      </c>
      <c r="G43">
        <f t="shared" si="6"/>
        <v>1.9008000002941117E-2</v>
      </c>
      <c r="K43">
        <f t="shared" si="7"/>
        <v>1.9008000002941117E-2</v>
      </c>
      <c r="O43">
        <f t="shared" ca="1" si="5"/>
        <v>-7.5278109508875174E-3</v>
      </c>
      <c r="Q43" s="2">
        <f t="shared" si="3"/>
        <v>36356.918400000002</v>
      </c>
    </row>
    <row r="44" spans="1:31" x14ac:dyDescent="0.2">
      <c r="A44" s="55" t="s">
        <v>59</v>
      </c>
      <c r="B44" s="56" t="s">
        <v>45</v>
      </c>
      <c r="C44" s="55">
        <v>51732.4277</v>
      </c>
      <c r="D44" s="55" t="s">
        <v>60</v>
      </c>
      <c r="E44">
        <f t="shared" si="0"/>
        <v>32389.025011317339</v>
      </c>
      <c r="F44">
        <f t="shared" si="1"/>
        <v>32389</v>
      </c>
      <c r="G44">
        <f t="shared" si="6"/>
        <v>1.8563999998150393E-2</v>
      </c>
      <c r="K44">
        <f t="shared" si="7"/>
        <v>1.8563999998150393E-2</v>
      </c>
      <c r="O44">
        <f t="shared" ca="1" si="5"/>
        <v>-6.255863272829662E-3</v>
      </c>
      <c r="Q44" s="2">
        <f t="shared" si="3"/>
        <v>36713.9277</v>
      </c>
    </row>
    <row r="45" spans="1:31" x14ac:dyDescent="0.2">
      <c r="A45" s="55" t="s">
        <v>59</v>
      </c>
      <c r="B45" s="56" t="s">
        <v>45</v>
      </c>
      <c r="C45" s="55">
        <v>51752.463600000003</v>
      </c>
      <c r="D45" s="55" t="s">
        <v>60</v>
      </c>
      <c r="E45">
        <f t="shared" si="0"/>
        <v>32416.019422707974</v>
      </c>
      <c r="F45">
        <f t="shared" si="1"/>
        <v>32416</v>
      </c>
      <c r="G45">
        <f t="shared" si="6"/>
        <v>1.4416000005439855E-2</v>
      </c>
      <c r="K45">
        <f t="shared" si="7"/>
        <v>1.4416000005439855E-2</v>
      </c>
      <c r="O45">
        <f t="shared" ca="1" si="5"/>
        <v>-6.184464962418923E-3</v>
      </c>
      <c r="Q45" s="2">
        <f t="shared" si="3"/>
        <v>36733.963600000003</v>
      </c>
    </row>
    <row r="46" spans="1:31" x14ac:dyDescent="0.2">
      <c r="A46" s="55" t="s">
        <v>59</v>
      </c>
      <c r="B46" s="56" t="s">
        <v>45</v>
      </c>
      <c r="C46" s="55">
        <v>51833.367129999999</v>
      </c>
      <c r="D46" s="55">
        <v>2.5000000000000001E-3</v>
      </c>
      <c r="E46">
        <f t="shared" si="0"/>
        <v>32525.020923602577</v>
      </c>
      <c r="F46">
        <f t="shared" si="1"/>
        <v>32525</v>
      </c>
      <c r="G46">
        <f t="shared" si="6"/>
        <v>1.5530000004218891E-2</v>
      </c>
      <c r="K46">
        <f t="shared" si="7"/>
        <v>1.5530000004218891E-2</v>
      </c>
      <c r="O46">
        <f t="shared" ca="1" si="5"/>
        <v>-5.8962273389089326E-3</v>
      </c>
      <c r="Q46" s="2">
        <f t="shared" si="3"/>
        <v>36814.867129999999</v>
      </c>
    </row>
    <row r="47" spans="1:31" x14ac:dyDescent="0.2">
      <c r="A47" s="15" t="s">
        <v>48</v>
      </c>
      <c r="B47" s="5" t="s">
        <v>45</v>
      </c>
      <c r="C47" s="32">
        <v>53163.428999999996</v>
      </c>
      <c r="D47" s="33">
        <v>2E-3</v>
      </c>
      <c r="E47">
        <f t="shared" si="0"/>
        <v>34317.016156847523</v>
      </c>
      <c r="F47">
        <f t="shared" si="1"/>
        <v>34317</v>
      </c>
      <c r="G47">
        <f t="shared" si="6"/>
        <v>1.1991999992460478E-2</v>
      </c>
      <c r="J47">
        <f>+G47</f>
        <v>1.1991999992460478E-2</v>
      </c>
      <c r="O47">
        <f t="shared" ca="1" si="5"/>
        <v>-1.1574950331299932E-3</v>
      </c>
      <c r="Q47" s="2">
        <f t="shared" si="3"/>
        <v>38144.928999999996</v>
      </c>
    </row>
    <row r="48" spans="1:31" x14ac:dyDescent="0.2">
      <c r="A48" s="27" t="s">
        <v>57</v>
      </c>
      <c r="B48" s="14"/>
      <c r="C48" s="12">
        <v>54241.499900000003</v>
      </c>
      <c r="D48" s="12">
        <v>2.3E-3</v>
      </c>
      <c r="E48">
        <f t="shared" si="0"/>
        <v>35769.503411369078</v>
      </c>
      <c r="F48">
        <f t="shared" si="1"/>
        <v>35769.5</v>
      </c>
      <c r="G48">
        <f t="shared" si="6"/>
        <v>2.532000005885493E-3</v>
      </c>
      <c r="J48">
        <f>+G48</f>
        <v>2.532000005885493E-3</v>
      </c>
      <c r="O48">
        <f t="shared" ca="1" si="5"/>
        <v>2.6834696287806742E-3</v>
      </c>
      <c r="Q48" s="2">
        <f t="shared" si="3"/>
        <v>39222.999900000003</v>
      </c>
    </row>
    <row r="49" spans="1:17" x14ac:dyDescent="0.2">
      <c r="A49" s="47" t="s">
        <v>175</v>
      </c>
      <c r="B49" s="49" t="s">
        <v>180</v>
      </c>
      <c r="C49" s="48">
        <v>55073.537799999998</v>
      </c>
      <c r="D49" s="48" t="s">
        <v>70</v>
      </c>
      <c r="E49">
        <f t="shared" si="0"/>
        <v>36890.509873030242</v>
      </c>
      <c r="F49">
        <f t="shared" si="1"/>
        <v>36890.5</v>
      </c>
      <c r="G49">
        <f>+C49-(C$7+F49*C$8)</f>
        <v>7.3279999996884726E-3</v>
      </c>
      <c r="I49">
        <f>+G49</f>
        <v>7.3279999996884726E-3</v>
      </c>
      <c r="O49">
        <f t="shared" ca="1" si="5"/>
        <v>5.6478217017595783E-3</v>
      </c>
      <c r="Q49" s="2">
        <f t="shared" si="3"/>
        <v>40055.037799999998</v>
      </c>
    </row>
    <row r="50" spans="1:17" x14ac:dyDescent="0.2">
      <c r="A50" s="47" t="s">
        <v>175</v>
      </c>
      <c r="B50" s="49" t="s">
        <v>45</v>
      </c>
      <c r="C50" s="48">
        <v>55075.390200000002</v>
      </c>
      <c r="D50" s="48" t="s">
        <v>70</v>
      </c>
      <c r="E50">
        <f t="shared" si="0"/>
        <v>36893.005615555412</v>
      </c>
      <c r="F50">
        <f t="shared" si="1"/>
        <v>36893</v>
      </c>
      <c r="G50">
        <f>+C50-(C$7+F50*C$8)</f>
        <v>4.1680000067572109E-3</v>
      </c>
      <c r="I50">
        <f>+G50</f>
        <v>4.1680000067572109E-3</v>
      </c>
      <c r="O50">
        <f t="shared" ca="1" si="5"/>
        <v>5.6544326564272329E-3</v>
      </c>
      <c r="Q50" s="2">
        <f t="shared" si="3"/>
        <v>40056.890200000002</v>
      </c>
    </row>
    <row r="51" spans="1:17" x14ac:dyDescent="0.2">
      <c r="A51" s="57" t="s">
        <v>182</v>
      </c>
      <c r="B51" s="58" t="s">
        <v>45</v>
      </c>
      <c r="C51" s="59">
        <v>57989.373449999839</v>
      </c>
      <c r="D51" s="59">
        <v>1E-4</v>
      </c>
      <c r="E51">
        <f>+(C51-C$7)/C$8</f>
        <v>40819.021548750563</v>
      </c>
      <c r="F51">
        <f t="shared" si="1"/>
        <v>40819</v>
      </c>
      <c r="G51">
        <f>+C51-(C$7+F51*C$8)</f>
        <v>1.5993999841157347E-2</v>
      </c>
      <c r="K51">
        <f>+G51</f>
        <v>1.5993999841157347E-2</v>
      </c>
      <c r="O51">
        <f ca="1">+C$11+C$12*F51</f>
        <v>1.6036275866521052E-2</v>
      </c>
      <c r="Q51" s="2">
        <f>+C51-15018.5</f>
        <v>42970.873449999839</v>
      </c>
    </row>
    <row r="52" spans="1:17" x14ac:dyDescent="0.2">
      <c r="C52" s="12"/>
      <c r="D52" s="12"/>
    </row>
    <row r="53" spans="1:17" x14ac:dyDescent="0.2">
      <c r="C53" s="12"/>
      <c r="D53" s="12"/>
    </row>
    <row r="54" spans="1:17" x14ac:dyDescent="0.2">
      <c r="C54" s="12"/>
      <c r="D54" s="12"/>
    </row>
    <row r="55" spans="1:17" x14ac:dyDescent="0.2">
      <c r="C55" s="12"/>
      <c r="D55" s="12"/>
    </row>
    <row r="56" spans="1:17" x14ac:dyDescent="0.2">
      <c r="C56" s="12"/>
      <c r="D56" s="12"/>
    </row>
    <row r="57" spans="1:17" x14ac:dyDescent="0.2">
      <c r="C57" s="12"/>
      <c r="D57" s="12"/>
    </row>
    <row r="58" spans="1:17" x14ac:dyDescent="0.2">
      <c r="C58" s="12"/>
      <c r="D58" s="12"/>
    </row>
    <row r="59" spans="1:17" x14ac:dyDescent="0.2">
      <c r="C59" s="12"/>
      <c r="D59" s="12"/>
    </row>
    <row r="60" spans="1:17" x14ac:dyDescent="0.2">
      <c r="C60" s="12"/>
      <c r="D60" s="12"/>
    </row>
    <row r="61" spans="1:17" x14ac:dyDescent="0.2">
      <c r="C61" s="12"/>
      <c r="D61" s="12"/>
    </row>
    <row r="62" spans="1:17" x14ac:dyDescent="0.2">
      <c r="C62" s="12"/>
      <c r="D62" s="12"/>
    </row>
    <row r="63" spans="1:17" x14ac:dyDescent="0.2">
      <c r="C63" s="12"/>
      <c r="D63" s="12"/>
    </row>
    <row r="64" spans="1:17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</sheetData>
  <protectedRanges>
    <protectedRange sqref="A51:D51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5"/>
  <sheetViews>
    <sheetView workbookViewId="0">
      <selection activeCell="A34" sqref="A34:D36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4" t="s">
        <v>61</v>
      </c>
      <c r="I1" s="35" t="s">
        <v>62</v>
      </c>
      <c r="J1" s="36" t="s">
        <v>60</v>
      </c>
    </row>
    <row r="2" spans="1:16" x14ac:dyDescent="0.2">
      <c r="I2" s="37" t="s">
        <v>63</v>
      </c>
      <c r="J2" s="38" t="s">
        <v>64</v>
      </c>
    </row>
    <row r="3" spans="1:16" x14ac:dyDescent="0.2">
      <c r="A3" s="39" t="s">
        <v>65</v>
      </c>
      <c r="I3" s="37" t="s">
        <v>66</v>
      </c>
      <c r="J3" s="38" t="s">
        <v>67</v>
      </c>
    </row>
    <row r="4" spans="1:16" x14ac:dyDescent="0.2">
      <c r="I4" s="37" t="s">
        <v>68</v>
      </c>
      <c r="J4" s="38" t="s">
        <v>67</v>
      </c>
    </row>
    <row r="5" spans="1:16" ht="13.5" thickBot="1" x14ac:dyDescent="0.25">
      <c r="I5" s="40" t="s">
        <v>69</v>
      </c>
      <c r="J5" s="41" t="s">
        <v>70</v>
      </c>
    </row>
    <row r="10" spans="1:16" ht="13.5" thickBot="1" x14ac:dyDescent="0.25"/>
    <row r="11" spans="1:16" ht="12.75" customHeight="1" thickBot="1" x14ac:dyDescent="0.25">
      <c r="A11" s="12" t="str">
        <f t="shared" ref="A11:A36" si="0">P11</f>
        <v> BBS 81 </v>
      </c>
      <c r="B11" s="5" t="str">
        <f t="shared" ref="B11:B36" si="1">IF(H11=INT(H11),"I","II")</f>
        <v>I</v>
      </c>
      <c r="C11" s="12">
        <f t="shared" ref="C11:C36" si="2">1*G11</f>
        <v>46678.6</v>
      </c>
      <c r="D11" s="15" t="str">
        <f t="shared" ref="D11:D36" si="3">VLOOKUP(F11,I$1:J$5,2,FALSE)</f>
        <v>vis</v>
      </c>
      <c r="E11" s="42">
        <f>VLOOKUP(C11,Active!C$21:E$972,3,FALSE)</f>
        <v>25579.992023971197</v>
      </c>
      <c r="F11" s="5" t="s">
        <v>69</v>
      </c>
      <c r="G11" s="15" t="str">
        <f t="shared" ref="G11:G36" si="4">MID(I11,3,LEN(I11)-3)</f>
        <v>46678.600</v>
      </c>
      <c r="H11" s="12">
        <f t="shared" ref="H11:H36" si="5">1*K11</f>
        <v>25580</v>
      </c>
      <c r="I11" s="43" t="s">
        <v>72</v>
      </c>
      <c r="J11" s="44" t="s">
        <v>73</v>
      </c>
      <c r="K11" s="43">
        <v>25580</v>
      </c>
      <c r="L11" s="43" t="s">
        <v>74</v>
      </c>
      <c r="M11" s="44" t="s">
        <v>75</v>
      </c>
      <c r="N11" s="44"/>
      <c r="O11" s="45" t="s">
        <v>76</v>
      </c>
      <c r="P11" s="45" t="s">
        <v>77</v>
      </c>
    </row>
    <row r="12" spans="1:16" ht="12.75" customHeight="1" thickBot="1" x14ac:dyDescent="0.25">
      <c r="A12" s="12" t="str">
        <f t="shared" si="0"/>
        <v> BBS 84 </v>
      </c>
      <c r="B12" s="5" t="str">
        <f t="shared" si="1"/>
        <v>I</v>
      </c>
      <c r="C12" s="12">
        <f t="shared" si="2"/>
        <v>46923.531999999999</v>
      </c>
      <c r="D12" s="15" t="str">
        <f t="shared" si="3"/>
        <v>vis</v>
      </c>
      <c r="E12" s="42">
        <f>VLOOKUP(C12,Active!C$21:E$972,3,FALSE)</f>
        <v>25909.989437151049</v>
      </c>
      <c r="F12" s="5" t="s">
        <v>69</v>
      </c>
      <c r="G12" s="15" t="str">
        <f t="shared" si="4"/>
        <v>46923.532</v>
      </c>
      <c r="H12" s="12">
        <f t="shared" si="5"/>
        <v>25910</v>
      </c>
      <c r="I12" s="43" t="s">
        <v>78</v>
      </c>
      <c r="J12" s="44" t="s">
        <v>79</v>
      </c>
      <c r="K12" s="43">
        <v>25910</v>
      </c>
      <c r="L12" s="43" t="s">
        <v>80</v>
      </c>
      <c r="M12" s="44" t="s">
        <v>75</v>
      </c>
      <c r="N12" s="44"/>
      <c r="O12" s="45" t="s">
        <v>76</v>
      </c>
      <c r="P12" s="45" t="s">
        <v>81</v>
      </c>
    </row>
    <row r="13" spans="1:16" ht="12.75" customHeight="1" thickBot="1" x14ac:dyDescent="0.25">
      <c r="A13" s="12" t="str">
        <f t="shared" si="0"/>
        <v> BBS 84 </v>
      </c>
      <c r="B13" s="5" t="str">
        <f t="shared" si="1"/>
        <v>I</v>
      </c>
      <c r="C13" s="12">
        <f t="shared" si="2"/>
        <v>46972.517</v>
      </c>
      <c r="D13" s="15" t="str">
        <f t="shared" si="3"/>
        <v>vis</v>
      </c>
      <c r="E13" s="42">
        <f>VLOOKUP(C13,Active!C$21:E$972,3,FALSE)</f>
        <v>25975.987033563993</v>
      </c>
      <c r="F13" s="5" t="s">
        <v>69</v>
      </c>
      <c r="G13" s="15" t="str">
        <f t="shared" si="4"/>
        <v>46972.517</v>
      </c>
      <c r="H13" s="12">
        <f t="shared" si="5"/>
        <v>25976</v>
      </c>
      <c r="I13" s="43" t="s">
        <v>82</v>
      </c>
      <c r="J13" s="44" t="s">
        <v>83</v>
      </c>
      <c r="K13" s="43">
        <v>25976</v>
      </c>
      <c r="L13" s="43" t="s">
        <v>84</v>
      </c>
      <c r="M13" s="44" t="s">
        <v>75</v>
      </c>
      <c r="N13" s="44"/>
      <c r="O13" s="45" t="s">
        <v>76</v>
      </c>
      <c r="P13" s="45" t="s">
        <v>81</v>
      </c>
    </row>
    <row r="14" spans="1:16" ht="12.75" customHeight="1" thickBot="1" x14ac:dyDescent="0.25">
      <c r="A14" s="12" t="str">
        <f t="shared" si="0"/>
        <v> BBS 85 </v>
      </c>
      <c r="B14" s="5" t="str">
        <f t="shared" si="1"/>
        <v>I</v>
      </c>
      <c r="C14" s="12">
        <f t="shared" si="2"/>
        <v>47024.485000000001</v>
      </c>
      <c r="D14" s="15" t="str">
        <f t="shared" si="3"/>
        <v>vis</v>
      </c>
      <c r="E14" s="42">
        <f>VLOOKUP(C14,Active!C$21:E$972,3,FALSE)</f>
        <v>26046.003632326632</v>
      </c>
      <c r="F14" s="5" t="s">
        <v>69</v>
      </c>
      <c r="G14" s="15" t="str">
        <f t="shared" si="4"/>
        <v>47024.485</v>
      </c>
      <c r="H14" s="12">
        <f t="shared" si="5"/>
        <v>26046</v>
      </c>
      <c r="I14" s="43" t="s">
        <v>85</v>
      </c>
      <c r="J14" s="44" t="s">
        <v>86</v>
      </c>
      <c r="K14" s="43">
        <v>26046</v>
      </c>
      <c r="L14" s="43" t="s">
        <v>87</v>
      </c>
      <c r="M14" s="44" t="s">
        <v>75</v>
      </c>
      <c r="N14" s="44"/>
      <c r="O14" s="45" t="s">
        <v>76</v>
      </c>
      <c r="P14" s="45" t="s">
        <v>88</v>
      </c>
    </row>
    <row r="15" spans="1:16" ht="12.75" customHeight="1" thickBot="1" x14ac:dyDescent="0.25">
      <c r="A15" s="12" t="str">
        <f t="shared" si="0"/>
        <v> BBS 86 </v>
      </c>
      <c r="B15" s="5" t="str">
        <f t="shared" si="1"/>
        <v>I</v>
      </c>
      <c r="C15" s="12">
        <f t="shared" si="2"/>
        <v>47166.243999999999</v>
      </c>
      <c r="D15" s="15" t="str">
        <f t="shared" si="3"/>
        <v>vis</v>
      </c>
      <c r="E15" s="42">
        <f>VLOOKUP(C15,Active!C$21:E$972,3,FALSE)</f>
        <v>26236.995839530922</v>
      </c>
      <c r="F15" s="5" t="s">
        <v>69</v>
      </c>
      <c r="G15" s="15" t="str">
        <f t="shared" si="4"/>
        <v>47166.244</v>
      </c>
      <c r="H15" s="12">
        <f t="shared" si="5"/>
        <v>26237</v>
      </c>
      <c r="I15" s="43" t="s">
        <v>89</v>
      </c>
      <c r="J15" s="44" t="s">
        <v>90</v>
      </c>
      <c r="K15" s="43">
        <v>26237</v>
      </c>
      <c r="L15" s="43" t="s">
        <v>71</v>
      </c>
      <c r="M15" s="44" t="s">
        <v>75</v>
      </c>
      <c r="N15" s="44"/>
      <c r="O15" s="45" t="s">
        <v>76</v>
      </c>
      <c r="P15" s="45" t="s">
        <v>91</v>
      </c>
    </row>
    <row r="16" spans="1:16" ht="12.75" customHeight="1" thickBot="1" x14ac:dyDescent="0.25">
      <c r="A16" s="12" t="str">
        <f t="shared" si="0"/>
        <v> BBS 88 </v>
      </c>
      <c r="B16" s="5" t="str">
        <f t="shared" si="1"/>
        <v>I</v>
      </c>
      <c r="C16" s="12">
        <f t="shared" si="2"/>
        <v>47303.561000000002</v>
      </c>
      <c r="D16" s="15" t="str">
        <f t="shared" si="3"/>
        <v>vis</v>
      </c>
      <c r="E16" s="42">
        <f>VLOOKUP(C16,Active!C$21:E$972,3,FALSE)</f>
        <v>26422.003330530948</v>
      </c>
      <c r="F16" s="5" t="s">
        <v>69</v>
      </c>
      <c r="G16" s="15" t="str">
        <f t="shared" si="4"/>
        <v>47303.561</v>
      </c>
      <c r="H16" s="12">
        <f t="shared" si="5"/>
        <v>26422</v>
      </c>
      <c r="I16" s="43" t="s">
        <v>92</v>
      </c>
      <c r="J16" s="44" t="s">
        <v>93</v>
      </c>
      <c r="K16" s="43">
        <v>26422</v>
      </c>
      <c r="L16" s="43" t="s">
        <v>94</v>
      </c>
      <c r="M16" s="44" t="s">
        <v>75</v>
      </c>
      <c r="N16" s="44"/>
      <c r="O16" s="45" t="s">
        <v>76</v>
      </c>
      <c r="P16" s="45" t="s">
        <v>95</v>
      </c>
    </row>
    <row r="17" spans="1:16" ht="12.75" customHeight="1" thickBot="1" x14ac:dyDescent="0.25">
      <c r="A17" s="12" t="str">
        <f t="shared" si="0"/>
        <v> BBS 89 </v>
      </c>
      <c r="B17" s="5" t="str">
        <f t="shared" si="1"/>
        <v>I</v>
      </c>
      <c r="C17" s="12">
        <f t="shared" si="2"/>
        <v>47430.476000000002</v>
      </c>
      <c r="D17" s="15" t="str">
        <f t="shared" si="3"/>
        <v>vis</v>
      </c>
      <c r="E17" s="42">
        <f>VLOOKUP(C17,Active!C$21:E$972,3,FALSE)</f>
        <v>26592.996184440282</v>
      </c>
      <c r="F17" s="5" t="s">
        <v>69</v>
      </c>
      <c r="G17" s="15" t="str">
        <f t="shared" si="4"/>
        <v>47430.476</v>
      </c>
      <c r="H17" s="12">
        <f t="shared" si="5"/>
        <v>26593</v>
      </c>
      <c r="I17" s="43" t="s">
        <v>96</v>
      </c>
      <c r="J17" s="44" t="s">
        <v>97</v>
      </c>
      <c r="K17" s="43">
        <v>26593</v>
      </c>
      <c r="L17" s="43" t="s">
        <v>71</v>
      </c>
      <c r="M17" s="44" t="s">
        <v>75</v>
      </c>
      <c r="N17" s="44"/>
      <c r="O17" s="45" t="s">
        <v>76</v>
      </c>
      <c r="P17" s="45" t="s">
        <v>98</v>
      </c>
    </row>
    <row r="18" spans="1:16" ht="12.75" customHeight="1" thickBot="1" x14ac:dyDescent="0.25">
      <c r="A18" s="12" t="str">
        <f t="shared" si="0"/>
        <v> BBS 92 </v>
      </c>
      <c r="B18" s="5" t="str">
        <f t="shared" si="1"/>
        <v>I</v>
      </c>
      <c r="C18" s="12">
        <f t="shared" si="2"/>
        <v>47689.516000000003</v>
      </c>
      <c r="D18" s="15" t="str">
        <f t="shared" si="3"/>
        <v>vis</v>
      </c>
      <c r="E18" s="42">
        <f>VLOOKUP(C18,Active!C$21:E$972,3,FALSE)</f>
        <v>26942.00133652375</v>
      </c>
      <c r="F18" s="5" t="s">
        <v>69</v>
      </c>
      <c r="G18" s="15" t="str">
        <f t="shared" si="4"/>
        <v>47689.516</v>
      </c>
      <c r="H18" s="12">
        <f t="shared" si="5"/>
        <v>26942</v>
      </c>
      <c r="I18" s="43" t="s">
        <v>99</v>
      </c>
      <c r="J18" s="44" t="s">
        <v>100</v>
      </c>
      <c r="K18" s="43">
        <v>26942</v>
      </c>
      <c r="L18" s="43" t="s">
        <v>101</v>
      </c>
      <c r="M18" s="44" t="s">
        <v>75</v>
      </c>
      <c r="N18" s="44"/>
      <c r="O18" s="45" t="s">
        <v>76</v>
      </c>
      <c r="P18" s="45" t="s">
        <v>102</v>
      </c>
    </row>
    <row r="19" spans="1:16" ht="12.75" customHeight="1" thickBot="1" x14ac:dyDescent="0.25">
      <c r="A19" s="12" t="str">
        <f t="shared" si="0"/>
        <v> BBS 96 </v>
      </c>
      <c r="B19" s="5" t="str">
        <f t="shared" si="1"/>
        <v>I</v>
      </c>
      <c r="C19" s="12">
        <f t="shared" si="2"/>
        <v>48127.428999999996</v>
      </c>
      <c r="D19" s="15" t="str">
        <f t="shared" si="3"/>
        <v>vis</v>
      </c>
      <c r="E19" s="42">
        <f>VLOOKUP(C19,Active!C$21:E$972,3,FALSE)</f>
        <v>27532.002468257557</v>
      </c>
      <c r="F19" s="5" t="s">
        <v>69</v>
      </c>
      <c r="G19" s="15" t="str">
        <f t="shared" si="4"/>
        <v>48127.429</v>
      </c>
      <c r="H19" s="12">
        <f t="shared" si="5"/>
        <v>27532</v>
      </c>
      <c r="I19" s="43" t="s">
        <v>103</v>
      </c>
      <c r="J19" s="44" t="s">
        <v>104</v>
      </c>
      <c r="K19" s="43">
        <v>27532</v>
      </c>
      <c r="L19" s="43" t="s">
        <v>94</v>
      </c>
      <c r="M19" s="44" t="s">
        <v>75</v>
      </c>
      <c r="N19" s="44"/>
      <c r="O19" s="45" t="s">
        <v>76</v>
      </c>
      <c r="P19" s="45" t="s">
        <v>105</v>
      </c>
    </row>
    <row r="20" spans="1:16" ht="12.75" customHeight="1" thickBot="1" x14ac:dyDescent="0.25">
      <c r="A20" s="12" t="str">
        <f t="shared" si="0"/>
        <v> BBS 104 </v>
      </c>
      <c r="B20" s="5" t="str">
        <f t="shared" si="1"/>
        <v>I</v>
      </c>
      <c r="C20" s="12">
        <f t="shared" si="2"/>
        <v>49158.385000000002</v>
      </c>
      <c r="D20" s="15" t="str">
        <f t="shared" si="3"/>
        <v>vis</v>
      </c>
      <c r="E20" s="42">
        <f>VLOOKUP(C20,Active!C$21:E$972,3,FALSE)</f>
        <v>28921.011716139605</v>
      </c>
      <c r="F20" s="5" t="s">
        <v>69</v>
      </c>
      <c r="G20" s="15" t="str">
        <f t="shared" si="4"/>
        <v>49158.385</v>
      </c>
      <c r="H20" s="12">
        <f t="shared" si="5"/>
        <v>28921</v>
      </c>
      <c r="I20" s="43" t="s">
        <v>106</v>
      </c>
      <c r="J20" s="44" t="s">
        <v>107</v>
      </c>
      <c r="K20" s="43">
        <v>28921</v>
      </c>
      <c r="L20" s="43" t="s">
        <v>108</v>
      </c>
      <c r="M20" s="44" t="s">
        <v>75</v>
      </c>
      <c r="N20" s="44"/>
      <c r="O20" s="45" t="s">
        <v>76</v>
      </c>
      <c r="P20" s="45" t="s">
        <v>109</v>
      </c>
    </row>
    <row r="21" spans="1:16" ht="12.75" customHeight="1" thickBot="1" x14ac:dyDescent="0.25">
      <c r="A21" s="12" t="str">
        <f t="shared" si="0"/>
        <v> BBS 106 </v>
      </c>
      <c r="B21" s="5" t="str">
        <f t="shared" si="1"/>
        <v>I</v>
      </c>
      <c r="C21" s="12">
        <f t="shared" si="2"/>
        <v>49480.510999999999</v>
      </c>
      <c r="D21" s="15" t="str">
        <f t="shared" si="3"/>
        <v>vis</v>
      </c>
      <c r="E21" s="42">
        <f>VLOOKUP(C21,Active!C$21:E$972,3,FALSE)</f>
        <v>29355.012772424496</v>
      </c>
      <c r="F21" s="5" t="s">
        <v>69</v>
      </c>
      <c r="G21" s="15" t="str">
        <f t="shared" si="4"/>
        <v>49480.511</v>
      </c>
      <c r="H21" s="12">
        <f t="shared" si="5"/>
        <v>29355</v>
      </c>
      <c r="I21" s="43" t="s">
        <v>110</v>
      </c>
      <c r="J21" s="44" t="s">
        <v>111</v>
      </c>
      <c r="K21" s="43">
        <v>29355</v>
      </c>
      <c r="L21" s="43" t="s">
        <v>108</v>
      </c>
      <c r="M21" s="44" t="s">
        <v>75</v>
      </c>
      <c r="N21" s="44"/>
      <c r="O21" s="45" t="s">
        <v>76</v>
      </c>
      <c r="P21" s="45" t="s">
        <v>112</v>
      </c>
    </row>
    <row r="22" spans="1:16" ht="12.75" customHeight="1" thickBot="1" x14ac:dyDescent="0.25">
      <c r="A22" s="12" t="str">
        <f t="shared" si="0"/>
        <v> BBS 110 </v>
      </c>
      <c r="B22" s="5" t="str">
        <f t="shared" si="1"/>
        <v>I</v>
      </c>
      <c r="C22" s="12">
        <f t="shared" si="2"/>
        <v>49999.326999999997</v>
      </c>
      <c r="D22" s="15" t="str">
        <f t="shared" si="3"/>
        <v>vis</v>
      </c>
      <c r="E22" s="42">
        <f>VLOOKUP(C22,Active!C$21:E$972,3,FALSE)</f>
        <v>30054.014690982774</v>
      </c>
      <c r="F22" s="5" t="s">
        <v>69</v>
      </c>
      <c r="G22" s="15" t="str">
        <f t="shared" si="4"/>
        <v>49999.327</v>
      </c>
      <c r="H22" s="12">
        <f t="shared" si="5"/>
        <v>30054</v>
      </c>
      <c r="I22" s="43" t="s">
        <v>117</v>
      </c>
      <c r="J22" s="44" t="s">
        <v>118</v>
      </c>
      <c r="K22" s="43">
        <v>30054</v>
      </c>
      <c r="L22" s="43" t="s">
        <v>119</v>
      </c>
      <c r="M22" s="44" t="s">
        <v>75</v>
      </c>
      <c r="N22" s="44"/>
      <c r="O22" s="45" t="s">
        <v>76</v>
      </c>
      <c r="P22" s="45" t="s">
        <v>120</v>
      </c>
    </row>
    <row r="23" spans="1:16" ht="12.75" customHeight="1" thickBot="1" x14ac:dyDescent="0.25">
      <c r="A23" s="12" t="str">
        <f t="shared" si="0"/>
        <v>IBVS 4887 </v>
      </c>
      <c r="B23" s="5" t="str">
        <f t="shared" si="1"/>
        <v>I</v>
      </c>
      <c r="C23" s="12">
        <f t="shared" si="2"/>
        <v>50609.440600000002</v>
      </c>
      <c r="D23" s="15" t="str">
        <f t="shared" si="3"/>
        <v>vis</v>
      </c>
      <c r="E23" s="42">
        <f>VLOOKUP(C23,Active!C$21:E$972,3,FALSE)</f>
        <v>30876.022063420209</v>
      </c>
      <c r="F23" s="5" t="s">
        <v>69</v>
      </c>
      <c r="G23" s="15" t="str">
        <f t="shared" si="4"/>
        <v>50609.4406</v>
      </c>
      <c r="H23" s="12">
        <f t="shared" si="5"/>
        <v>30876</v>
      </c>
      <c r="I23" s="43" t="s">
        <v>121</v>
      </c>
      <c r="J23" s="44" t="s">
        <v>122</v>
      </c>
      <c r="K23" s="43">
        <v>30876</v>
      </c>
      <c r="L23" s="43" t="s">
        <v>123</v>
      </c>
      <c r="M23" s="44" t="s">
        <v>124</v>
      </c>
      <c r="N23" s="44" t="s">
        <v>125</v>
      </c>
      <c r="O23" s="45" t="s">
        <v>126</v>
      </c>
      <c r="P23" s="46" t="s">
        <v>127</v>
      </c>
    </row>
    <row r="24" spans="1:16" ht="12.75" customHeight="1" thickBot="1" x14ac:dyDescent="0.25">
      <c r="A24" s="12" t="str">
        <f t="shared" si="0"/>
        <v>IBVS 4887 </v>
      </c>
      <c r="B24" s="5" t="str">
        <f t="shared" si="1"/>
        <v>I</v>
      </c>
      <c r="C24" s="12">
        <f t="shared" si="2"/>
        <v>50658.428899999999</v>
      </c>
      <c r="D24" s="15" t="str">
        <f t="shared" si="3"/>
        <v>vis</v>
      </c>
      <c r="E24" s="42">
        <f>VLOOKUP(C24,Active!C$21:E$972,3,FALSE)</f>
        <v>30942.024105930286</v>
      </c>
      <c r="F24" s="5" t="s">
        <v>69</v>
      </c>
      <c r="G24" s="15" t="str">
        <f t="shared" si="4"/>
        <v>50658.4289</v>
      </c>
      <c r="H24" s="12">
        <f t="shared" si="5"/>
        <v>30942</v>
      </c>
      <c r="I24" s="43" t="s">
        <v>128</v>
      </c>
      <c r="J24" s="44" t="s">
        <v>129</v>
      </c>
      <c r="K24" s="43">
        <v>30942</v>
      </c>
      <c r="L24" s="43" t="s">
        <v>130</v>
      </c>
      <c r="M24" s="44" t="s">
        <v>124</v>
      </c>
      <c r="N24" s="44" t="s">
        <v>125</v>
      </c>
      <c r="O24" s="45" t="s">
        <v>126</v>
      </c>
      <c r="P24" s="46" t="s">
        <v>127</v>
      </c>
    </row>
    <row r="25" spans="1:16" ht="12.75" customHeight="1" thickBot="1" x14ac:dyDescent="0.25">
      <c r="A25" s="12" t="str">
        <f t="shared" si="0"/>
        <v> BBS 117 </v>
      </c>
      <c r="B25" s="5" t="str">
        <f t="shared" si="1"/>
        <v>I</v>
      </c>
      <c r="C25" s="12">
        <f t="shared" si="2"/>
        <v>50934.531999999999</v>
      </c>
      <c r="D25" s="15" t="str">
        <f t="shared" si="3"/>
        <v>vis</v>
      </c>
      <c r="E25" s="42">
        <f>VLOOKUP(C25,Active!C$21:E$972,3,FALSE)</f>
        <v>31314.018409536744</v>
      </c>
      <c r="F25" s="5" t="s">
        <v>69</v>
      </c>
      <c r="G25" s="15" t="str">
        <f t="shared" si="4"/>
        <v>50934.532</v>
      </c>
      <c r="H25" s="12">
        <f t="shared" si="5"/>
        <v>31314</v>
      </c>
      <c r="I25" s="43" t="s">
        <v>131</v>
      </c>
      <c r="J25" s="44" t="s">
        <v>132</v>
      </c>
      <c r="K25" s="43">
        <v>31314</v>
      </c>
      <c r="L25" s="43" t="s">
        <v>133</v>
      </c>
      <c r="M25" s="44" t="s">
        <v>75</v>
      </c>
      <c r="N25" s="44"/>
      <c r="O25" s="45" t="s">
        <v>76</v>
      </c>
      <c r="P25" s="45" t="s">
        <v>134</v>
      </c>
    </row>
    <row r="26" spans="1:16" ht="12.75" customHeight="1" thickBot="1" x14ac:dyDescent="0.25">
      <c r="A26" s="12" t="str">
        <f t="shared" si="0"/>
        <v>IBVS 4888 </v>
      </c>
      <c r="B26" s="5" t="str">
        <f t="shared" si="1"/>
        <v>I</v>
      </c>
      <c r="C26" s="12">
        <f t="shared" si="2"/>
        <v>50943.440199999997</v>
      </c>
      <c r="D26" s="15" t="str">
        <f t="shared" si="3"/>
        <v>vis</v>
      </c>
      <c r="E26" s="42">
        <f>VLOOKUP(C26,Active!C$21:E$972,3,FALSE)</f>
        <v>31326.020446657611</v>
      </c>
      <c r="F26" s="5" t="s">
        <v>69</v>
      </c>
      <c r="G26" s="15" t="str">
        <f t="shared" si="4"/>
        <v>50943.4402</v>
      </c>
      <c r="H26" s="12">
        <f t="shared" si="5"/>
        <v>31326</v>
      </c>
      <c r="I26" s="43" t="s">
        <v>135</v>
      </c>
      <c r="J26" s="44" t="s">
        <v>136</v>
      </c>
      <c r="K26" s="43">
        <v>31326</v>
      </c>
      <c r="L26" s="43" t="s">
        <v>137</v>
      </c>
      <c r="M26" s="44" t="s">
        <v>124</v>
      </c>
      <c r="N26" s="44" t="s">
        <v>125</v>
      </c>
      <c r="O26" s="45" t="s">
        <v>138</v>
      </c>
      <c r="P26" s="46" t="s">
        <v>139</v>
      </c>
    </row>
    <row r="27" spans="1:16" ht="12.75" customHeight="1" thickBot="1" x14ac:dyDescent="0.25">
      <c r="A27" s="12" t="str">
        <f t="shared" si="0"/>
        <v>IBVS 4888 </v>
      </c>
      <c r="B27" s="5" t="str">
        <f t="shared" si="1"/>
        <v>I</v>
      </c>
      <c r="C27" s="12">
        <f t="shared" si="2"/>
        <v>51142.359600000003</v>
      </c>
      <c r="D27" s="15" t="str">
        <f t="shared" si="3"/>
        <v>vis</v>
      </c>
      <c r="E27" s="42">
        <f>VLOOKUP(C27,Active!C$21:E$972,3,FALSE)</f>
        <v>31594.024984371299</v>
      </c>
      <c r="F27" s="5" t="s">
        <v>69</v>
      </c>
      <c r="G27" s="15" t="str">
        <f t="shared" si="4"/>
        <v>51142.3596</v>
      </c>
      <c r="H27" s="12">
        <f t="shared" si="5"/>
        <v>31594</v>
      </c>
      <c r="I27" s="43" t="s">
        <v>140</v>
      </c>
      <c r="J27" s="44" t="s">
        <v>141</v>
      </c>
      <c r="K27" s="43">
        <v>31594</v>
      </c>
      <c r="L27" s="43" t="s">
        <v>142</v>
      </c>
      <c r="M27" s="44" t="s">
        <v>124</v>
      </c>
      <c r="N27" s="44" t="s">
        <v>125</v>
      </c>
      <c r="O27" s="45" t="s">
        <v>138</v>
      </c>
      <c r="P27" s="46" t="s">
        <v>139</v>
      </c>
    </row>
    <row r="28" spans="1:16" ht="12.75" customHeight="1" thickBot="1" x14ac:dyDescent="0.25">
      <c r="A28" s="12" t="str">
        <f t="shared" si="0"/>
        <v>IBVS 5263 </v>
      </c>
      <c r="B28" s="5" t="str">
        <f t="shared" si="1"/>
        <v>I</v>
      </c>
      <c r="C28" s="12">
        <f t="shared" si="2"/>
        <v>51375.418400000002</v>
      </c>
      <c r="D28" s="15" t="str">
        <f t="shared" si="3"/>
        <v>vis</v>
      </c>
      <c r="E28" s="42">
        <f>VLOOKUP(C28,Active!C$21:E$972,3,FALSE)</f>
        <v>31908.025609519504</v>
      </c>
      <c r="F28" s="5" t="s">
        <v>69</v>
      </c>
      <c r="G28" s="15" t="str">
        <f t="shared" si="4"/>
        <v>51375.4184</v>
      </c>
      <c r="H28" s="12">
        <f t="shared" si="5"/>
        <v>31908</v>
      </c>
      <c r="I28" s="43" t="s">
        <v>143</v>
      </c>
      <c r="J28" s="44" t="s">
        <v>144</v>
      </c>
      <c r="K28" s="43">
        <v>31908</v>
      </c>
      <c r="L28" s="43" t="s">
        <v>145</v>
      </c>
      <c r="M28" s="44" t="s">
        <v>124</v>
      </c>
      <c r="N28" s="44" t="s">
        <v>125</v>
      </c>
      <c r="O28" s="45" t="s">
        <v>126</v>
      </c>
      <c r="P28" s="46" t="s">
        <v>146</v>
      </c>
    </row>
    <row r="29" spans="1:16" ht="12.75" customHeight="1" thickBot="1" x14ac:dyDescent="0.25">
      <c r="A29" s="12" t="str">
        <f t="shared" si="0"/>
        <v>OEJV 0074 </v>
      </c>
      <c r="B29" s="5" t="str">
        <f t="shared" si="1"/>
        <v>I</v>
      </c>
      <c r="C29" s="12">
        <f t="shared" si="2"/>
        <v>51732.4277</v>
      </c>
      <c r="D29" s="15" t="str">
        <f t="shared" si="3"/>
        <v>vis</v>
      </c>
      <c r="E29" s="42">
        <f>VLOOKUP(C29,Active!C$21:E$972,3,FALSE)</f>
        <v>32389.025011317339</v>
      </c>
      <c r="F29" s="5" t="s">
        <v>69</v>
      </c>
      <c r="G29" s="15" t="str">
        <f t="shared" si="4"/>
        <v>51732.42770</v>
      </c>
      <c r="H29" s="12">
        <f t="shared" si="5"/>
        <v>32389</v>
      </c>
      <c r="I29" s="43" t="s">
        <v>147</v>
      </c>
      <c r="J29" s="44" t="s">
        <v>148</v>
      </c>
      <c r="K29" s="43">
        <v>32389</v>
      </c>
      <c r="L29" s="43" t="s">
        <v>149</v>
      </c>
      <c r="M29" s="44" t="s">
        <v>150</v>
      </c>
      <c r="N29" s="44" t="s">
        <v>151</v>
      </c>
      <c r="O29" s="45" t="s">
        <v>152</v>
      </c>
      <c r="P29" s="46" t="s">
        <v>153</v>
      </c>
    </row>
    <row r="30" spans="1:16" ht="12.75" customHeight="1" thickBot="1" x14ac:dyDescent="0.25">
      <c r="A30" s="12" t="str">
        <f t="shared" si="0"/>
        <v>OEJV 0074 </v>
      </c>
      <c r="B30" s="5" t="str">
        <f t="shared" si="1"/>
        <v>I</v>
      </c>
      <c r="C30" s="12">
        <f t="shared" si="2"/>
        <v>51752.463600000003</v>
      </c>
      <c r="D30" s="15" t="str">
        <f t="shared" si="3"/>
        <v>vis</v>
      </c>
      <c r="E30" s="42">
        <f>VLOOKUP(C30,Active!C$21:E$972,3,FALSE)</f>
        <v>32416.019422707974</v>
      </c>
      <c r="F30" s="5" t="s">
        <v>69</v>
      </c>
      <c r="G30" s="15" t="str">
        <f t="shared" si="4"/>
        <v>51752.46360</v>
      </c>
      <c r="H30" s="12">
        <f t="shared" si="5"/>
        <v>32416</v>
      </c>
      <c r="I30" s="43" t="s">
        <v>154</v>
      </c>
      <c r="J30" s="44" t="s">
        <v>155</v>
      </c>
      <c r="K30" s="43">
        <v>32416</v>
      </c>
      <c r="L30" s="43" t="s">
        <v>156</v>
      </c>
      <c r="M30" s="44" t="s">
        <v>150</v>
      </c>
      <c r="N30" s="44" t="s">
        <v>151</v>
      </c>
      <c r="O30" s="45" t="s">
        <v>152</v>
      </c>
      <c r="P30" s="46" t="s">
        <v>153</v>
      </c>
    </row>
    <row r="31" spans="1:16" ht="12.75" customHeight="1" thickBot="1" x14ac:dyDescent="0.25">
      <c r="A31" s="12" t="str">
        <f t="shared" si="0"/>
        <v>OEJV 0074 </v>
      </c>
      <c r="B31" s="5" t="str">
        <f t="shared" si="1"/>
        <v>I</v>
      </c>
      <c r="C31" s="12">
        <f t="shared" si="2"/>
        <v>51833.367129999999</v>
      </c>
      <c r="D31" s="15" t="str">
        <f t="shared" si="3"/>
        <v>vis</v>
      </c>
      <c r="E31" s="42">
        <f>VLOOKUP(C31,Active!C$21:E$972,3,FALSE)</f>
        <v>32525.020923602577</v>
      </c>
      <c r="F31" s="5" t="s">
        <v>69</v>
      </c>
      <c r="G31" s="15" t="str">
        <f t="shared" si="4"/>
        <v>51833.36713</v>
      </c>
      <c r="H31" s="12">
        <f t="shared" si="5"/>
        <v>32525</v>
      </c>
      <c r="I31" s="43" t="s">
        <v>157</v>
      </c>
      <c r="J31" s="44" t="s">
        <v>158</v>
      </c>
      <c r="K31" s="43">
        <v>32525</v>
      </c>
      <c r="L31" s="43" t="s">
        <v>159</v>
      </c>
      <c r="M31" s="44" t="s">
        <v>150</v>
      </c>
      <c r="N31" s="44" t="s">
        <v>151</v>
      </c>
      <c r="O31" s="45" t="s">
        <v>160</v>
      </c>
      <c r="P31" s="46" t="s">
        <v>153</v>
      </c>
    </row>
    <row r="32" spans="1:16" ht="12.75" customHeight="1" thickBot="1" x14ac:dyDescent="0.25">
      <c r="A32" s="12" t="str">
        <f t="shared" si="0"/>
        <v> BBS 130 </v>
      </c>
      <c r="B32" s="5" t="str">
        <f t="shared" si="1"/>
        <v>I</v>
      </c>
      <c r="C32" s="12">
        <f t="shared" si="2"/>
        <v>53163.428999999996</v>
      </c>
      <c r="D32" s="15" t="str">
        <f t="shared" si="3"/>
        <v>vis</v>
      </c>
      <c r="E32" s="42">
        <f>VLOOKUP(C32,Active!C$21:E$972,3,FALSE)</f>
        <v>34317.016156847523</v>
      </c>
      <c r="F32" s="5" t="s">
        <v>69</v>
      </c>
      <c r="G32" s="15" t="str">
        <f t="shared" si="4"/>
        <v>53163.429</v>
      </c>
      <c r="H32" s="12">
        <f t="shared" si="5"/>
        <v>34317</v>
      </c>
      <c r="I32" s="43" t="s">
        <v>161</v>
      </c>
      <c r="J32" s="44" t="s">
        <v>162</v>
      </c>
      <c r="K32" s="43">
        <v>34317</v>
      </c>
      <c r="L32" s="43" t="s">
        <v>163</v>
      </c>
      <c r="M32" s="44" t="s">
        <v>75</v>
      </c>
      <c r="N32" s="44"/>
      <c r="O32" s="45" t="s">
        <v>76</v>
      </c>
      <c r="P32" s="45" t="s">
        <v>164</v>
      </c>
    </row>
    <row r="33" spans="1:16" ht="12.75" customHeight="1" thickBot="1" x14ac:dyDescent="0.25">
      <c r="A33" s="12" t="str">
        <f t="shared" si="0"/>
        <v>BAVM 186 </v>
      </c>
      <c r="B33" s="5" t="str">
        <f t="shared" si="1"/>
        <v>II</v>
      </c>
      <c r="C33" s="12">
        <f t="shared" si="2"/>
        <v>54241.499900000003</v>
      </c>
      <c r="D33" s="15" t="str">
        <f t="shared" si="3"/>
        <v>vis</v>
      </c>
      <c r="E33" s="42">
        <f>VLOOKUP(C33,Active!C$21:E$972,3,FALSE)</f>
        <v>35769.503411369078</v>
      </c>
      <c r="F33" s="5" t="s">
        <v>69</v>
      </c>
      <c r="G33" s="15" t="str">
        <f t="shared" si="4"/>
        <v>54241.4999</v>
      </c>
      <c r="H33" s="12">
        <f t="shared" si="5"/>
        <v>35769.5</v>
      </c>
      <c r="I33" s="43" t="s">
        <v>165</v>
      </c>
      <c r="J33" s="44" t="s">
        <v>166</v>
      </c>
      <c r="K33" s="43">
        <v>35769.5</v>
      </c>
      <c r="L33" s="43" t="s">
        <v>167</v>
      </c>
      <c r="M33" s="44" t="s">
        <v>150</v>
      </c>
      <c r="N33" s="44" t="s">
        <v>168</v>
      </c>
      <c r="O33" s="45" t="s">
        <v>169</v>
      </c>
      <c r="P33" s="46" t="s">
        <v>170</v>
      </c>
    </row>
    <row r="34" spans="1:16" ht="12.75" customHeight="1" thickBot="1" x14ac:dyDescent="0.25">
      <c r="A34" s="12" t="str">
        <f t="shared" si="0"/>
        <v> BBS 109 </v>
      </c>
      <c r="B34" s="5" t="str">
        <f t="shared" si="1"/>
        <v>I</v>
      </c>
      <c r="C34" s="12">
        <f t="shared" si="2"/>
        <v>49866.476000000002</v>
      </c>
      <c r="D34" s="15" t="str">
        <f t="shared" si="3"/>
        <v>vis</v>
      </c>
      <c r="E34" s="42">
        <f>VLOOKUP(C34,Active!C$21:E$972,3,FALSE)</f>
        <v>29875.024251438921</v>
      </c>
      <c r="F34" s="5" t="s">
        <v>69</v>
      </c>
      <c r="G34" s="15" t="str">
        <f t="shared" si="4"/>
        <v>49866.476</v>
      </c>
      <c r="H34" s="12">
        <f t="shared" si="5"/>
        <v>29875</v>
      </c>
      <c r="I34" s="43" t="s">
        <v>113</v>
      </c>
      <c r="J34" s="44" t="s">
        <v>114</v>
      </c>
      <c r="K34" s="43">
        <v>29875</v>
      </c>
      <c r="L34" s="43" t="s">
        <v>115</v>
      </c>
      <c r="M34" s="44" t="s">
        <v>75</v>
      </c>
      <c r="N34" s="44"/>
      <c r="O34" s="45" t="s">
        <v>76</v>
      </c>
      <c r="P34" s="45" t="s">
        <v>116</v>
      </c>
    </row>
    <row r="35" spans="1:16" ht="12.75" customHeight="1" thickBot="1" x14ac:dyDescent="0.25">
      <c r="A35" s="12" t="str">
        <f t="shared" si="0"/>
        <v>BAVM 212 </v>
      </c>
      <c r="B35" s="5" t="str">
        <f t="shared" si="1"/>
        <v>II</v>
      </c>
      <c r="C35" s="12">
        <f t="shared" si="2"/>
        <v>55073.537799999998</v>
      </c>
      <c r="D35" s="15" t="str">
        <f t="shared" si="3"/>
        <v>vis</v>
      </c>
      <c r="E35" s="42">
        <f>VLOOKUP(C35,Active!C$21:E$972,3,FALSE)</f>
        <v>36890.509873030242</v>
      </c>
      <c r="F35" s="5" t="s">
        <v>69</v>
      </c>
      <c r="G35" s="15" t="str">
        <f t="shared" si="4"/>
        <v>55073.5378</v>
      </c>
      <c r="H35" s="12">
        <f t="shared" si="5"/>
        <v>36890.5</v>
      </c>
      <c r="I35" s="43" t="s">
        <v>171</v>
      </c>
      <c r="J35" s="44" t="s">
        <v>172</v>
      </c>
      <c r="K35" s="43" t="s">
        <v>173</v>
      </c>
      <c r="L35" s="43" t="s">
        <v>174</v>
      </c>
      <c r="M35" s="44" t="s">
        <v>150</v>
      </c>
      <c r="N35" s="44" t="s">
        <v>168</v>
      </c>
      <c r="O35" s="45" t="s">
        <v>169</v>
      </c>
      <c r="P35" s="46" t="s">
        <v>175</v>
      </c>
    </row>
    <row r="36" spans="1:16" ht="12.75" customHeight="1" thickBot="1" x14ac:dyDescent="0.25">
      <c r="A36" s="12" t="str">
        <f t="shared" si="0"/>
        <v>BAVM 212 </v>
      </c>
      <c r="B36" s="5" t="str">
        <f t="shared" si="1"/>
        <v>I</v>
      </c>
      <c r="C36" s="12">
        <f t="shared" si="2"/>
        <v>55075.390200000002</v>
      </c>
      <c r="D36" s="15" t="str">
        <f t="shared" si="3"/>
        <v>vis</v>
      </c>
      <c r="E36" s="42">
        <f>VLOOKUP(C36,Active!C$21:E$972,3,FALSE)</f>
        <v>36893.005615555412</v>
      </c>
      <c r="F36" s="5" t="s">
        <v>69</v>
      </c>
      <c r="G36" s="15" t="str">
        <f t="shared" si="4"/>
        <v>55075.3902</v>
      </c>
      <c r="H36" s="12">
        <f t="shared" si="5"/>
        <v>36893</v>
      </c>
      <c r="I36" s="43" t="s">
        <v>176</v>
      </c>
      <c r="J36" s="44" t="s">
        <v>177</v>
      </c>
      <c r="K36" s="43" t="s">
        <v>178</v>
      </c>
      <c r="L36" s="43" t="s">
        <v>179</v>
      </c>
      <c r="M36" s="44" t="s">
        <v>150</v>
      </c>
      <c r="N36" s="44" t="s">
        <v>168</v>
      </c>
      <c r="O36" s="45" t="s">
        <v>169</v>
      </c>
      <c r="P36" s="46" t="s">
        <v>175</v>
      </c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</sheetData>
  <phoneticPr fontId="7" type="noConversion"/>
  <hyperlinks>
    <hyperlink ref="P23" r:id="rId1" display="http://www.konkoly.hu/cgi-bin/IBVS?4887"/>
    <hyperlink ref="P24" r:id="rId2" display="http://www.konkoly.hu/cgi-bin/IBVS?4887"/>
    <hyperlink ref="P26" r:id="rId3" display="http://www.konkoly.hu/cgi-bin/IBVS?4888"/>
    <hyperlink ref="P27" r:id="rId4" display="http://www.konkoly.hu/cgi-bin/IBVS?4888"/>
    <hyperlink ref="P28" r:id="rId5" display="http://www.konkoly.hu/cgi-bin/IBVS?5263"/>
    <hyperlink ref="P29" r:id="rId6" display="http://var.astro.cz/oejv/issues/oejv0074.pdf"/>
    <hyperlink ref="P30" r:id="rId7" display="http://var.astro.cz/oejv/issues/oejv0074.pdf"/>
    <hyperlink ref="P31" r:id="rId8" display="http://var.astro.cz/oejv/issues/oejv0074.pdf"/>
    <hyperlink ref="P33" r:id="rId9" display="http://www.bav-astro.de/sfs/BAVM_link.php?BAVMnr=186"/>
    <hyperlink ref="P35" r:id="rId10" display="http://www.bav-astro.de/sfs/BAVM_link.php?BAVMnr=212"/>
    <hyperlink ref="P36" r:id="rId11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2024-02-04T03:52:33Z</dcterms:modified>
</cp:coreProperties>
</file>