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974250-B6B9-494F-A1B2-B9644F0CD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6" r:id="rId2"/>
  </sheets>
  <calcPr calcId="181029"/>
</workbook>
</file>

<file path=xl/calcChain.xml><?xml version="1.0" encoding="utf-8"?>
<calcChain xmlns="http://schemas.openxmlformats.org/spreadsheetml/2006/main">
  <c r="E53" i="5" l="1"/>
  <c r="F53" i="5" s="1"/>
  <c r="G53" i="5" s="1"/>
  <c r="K53" i="5" s="1"/>
  <c r="Q53" i="5"/>
  <c r="E54" i="5"/>
  <c r="F54" i="5" s="1"/>
  <c r="G54" i="5" s="1"/>
  <c r="K54" i="5" s="1"/>
  <c r="Q54" i="5"/>
  <c r="E52" i="5"/>
  <c r="F52" i="5" s="1"/>
  <c r="G52" i="5" s="1"/>
  <c r="K52" i="5" s="1"/>
  <c r="Q52" i="5"/>
  <c r="E51" i="5"/>
  <c r="F51" i="5"/>
  <c r="G51" i="5"/>
  <c r="K51" i="5" s="1"/>
  <c r="Q51" i="5"/>
  <c r="Q48" i="5"/>
  <c r="E21" i="5"/>
  <c r="F21" i="5"/>
  <c r="G21" i="5" s="1"/>
  <c r="I21" i="5" s="1"/>
  <c r="E22" i="5"/>
  <c r="F22" i="5" s="1"/>
  <c r="G22" i="5" s="1"/>
  <c r="I22" i="5" s="1"/>
  <c r="E23" i="5"/>
  <c r="F23" i="5"/>
  <c r="G23" i="5" s="1"/>
  <c r="I23" i="5" s="1"/>
  <c r="E24" i="5"/>
  <c r="F24" i="5" s="1"/>
  <c r="G24" i="5" s="1"/>
  <c r="I24" i="5" s="1"/>
  <c r="E25" i="5"/>
  <c r="F25" i="5"/>
  <c r="G25" i="5" s="1"/>
  <c r="I25" i="5" s="1"/>
  <c r="E27" i="5"/>
  <c r="F27" i="5" s="1"/>
  <c r="G27" i="5" s="1"/>
  <c r="I27" i="5" s="1"/>
  <c r="E28" i="5"/>
  <c r="F28" i="5"/>
  <c r="G28" i="5" s="1"/>
  <c r="I28" i="5" s="1"/>
  <c r="E29" i="5"/>
  <c r="F29" i="5"/>
  <c r="G29" i="5" s="1"/>
  <c r="I29" i="5" s="1"/>
  <c r="E30" i="5"/>
  <c r="F30" i="5" s="1"/>
  <c r="G30" i="5" s="1"/>
  <c r="I30" i="5" s="1"/>
  <c r="E41" i="5"/>
  <c r="F41" i="5"/>
  <c r="G41" i="5" s="1"/>
  <c r="K41" i="5" s="1"/>
  <c r="E42" i="5"/>
  <c r="F42" i="5" s="1"/>
  <c r="G42" i="5" s="1"/>
  <c r="K42" i="5" s="1"/>
  <c r="E43" i="5"/>
  <c r="F43" i="5"/>
  <c r="G43" i="5" s="1"/>
  <c r="K43" i="5" s="1"/>
  <c r="E44" i="5"/>
  <c r="F44" i="5" s="1"/>
  <c r="G44" i="5" s="1"/>
  <c r="K44" i="5" s="1"/>
  <c r="E45" i="5"/>
  <c r="F45" i="5"/>
  <c r="G45" i="5" s="1"/>
  <c r="K45" i="5" s="1"/>
  <c r="E48" i="5"/>
  <c r="F48" i="5" s="1"/>
  <c r="G48" i="5" s="1"/>
  <c r="K48" i="5" s="1"/>
  <c r="E9" i="5"/>
  <c r="D9" i="5"/>
  <c r="E38" i="5"/>
  <c r="F38" i="5" s="1"/>
  <c r="G38" i="5" s="1"/>
  <c r="K38" i="5" s="1"/>
  <c r="E39" i="5"/>
  <c r="F39" i="5" s="1"/>
  <c r="G39" i="5" s="1"/>
  <c r="K39" i="5" s="1"/>
  <c r="E40" i="5"/>
  <c r="F40" i="5" s="1"/>
  <c r="G40" i="5" s="1"/>
  <c r="K40" i="5" s="1"/>
  <c r="E46" i="5"/>
  <c r="F46" i="5"/>
  <c r="G46" i="5" s="1"/>
  <c r="K46" i="5" s="1"/>
  <c r="E47" i="5"/>
  <c r="F47" i="5" s="1"/>
  <c r="G47" i="5" s="1"/>
  <c r="K47" i="5" s="1"/>
  <c r="E49" i="5"/>
  <c r="F49" i="5" s="1"/>
  <c r="G49" i="5" s="1"/>
  <c r="K49" i="5" s="1"/>
  <c r="E50" i="5"/>
  <c r="F50" i="5"/>
  <c r="G50" i="5" s="1"/>
  <c r="K50" i="5" s="1"/>
  <c r="E32" i="5"/>
  <c r="F32" i="5" s="1"/>
  <c r="G32" i="5" s="1"/>
  <c r="I32" i="5" s="1"/>
  <c r="E31" i="5"/>
  <c r="F31" i="5"/>
  <c r="U31" i="5" s="1"/>
  <c r="I31" i="5" s="1"/>
  <c r="E33" i="5"/>
  <c r="F33" i="5" s="1"/>
  <c r="U33" i="5" s="1"/>
  <c r="E34" i="5"/>
  <c r="F34" i="5"/>
  <c r="E35" i="5"/>
  <c r="F35" i="5" s="1"/>
  <c r="U35" i="5" s="1"/>
  <c r="I35" i="5" s="1"/>
  <c r="E36" i="5"/>
  <c r="F36" i="5"/>
  <c r="U36" i="5" s="1"/>
  <c r="I36" i="5" s="1"/>
  <c r="E37" i="5"/>
  <c r="F37" i="5" s="1"/>
  <c r="U37" i="5" s="1"/>
  <c r="I37" i="5" s="1"/>
  <c r="Q45" i="5"/>
  <c r="Q44" i="5"/>
  <c r="Q43" i="5"/>
  <c r="Q42" i="5"/>
  <c r="Q41" i="5"/>
  <c r="Q30" i="5"/>
  <c r="Q29" i="5"/>
  <c r="Q28" i="5"/>
  <c r="Q27" i="5"/>
  <c r="Q25" i="5"/>
  <c r="Q24" i="5"/>
  <c r="Q23" i="5"/>
  <c r="Q22" i="5"/>
  <c r="Q21" i="5"/>
  <c r="G22" i="6"/>
  <c r="C22" i="6" s="1"/>
  <c r="E22" i="6" s="1"/>
  <c r="G37" i="6"/>
  <c r="C37" i="6"/>
  <c r="E37" i="6"/>
  <c r="G21" i="6"/>
  <c r="C21" i="6" s="1"/>
  <c r="E21" i="6" s="1"/>
  <c r="G20" i="6"/>
  <c r="C20" i="6"/>
  <c r="E20" i="6" s="1"/>
  <c r="G36" i="6"/>
  <c r="C36" i="6"/>
  <c r="E36" i="6" s="1"/>
  <c r="G35" i="6"/>
  <c r="C35" i="6"/>
  <c r="E35" i="6" s="1"/>
  <c r="G34" i="6"/>
  <c r="C34" i="6" s="1"/>
  <c r="E34" i="6" s="1"/>
  <c r="G33" i="6"/>
  <c r="C33" i="6" s="1"/>
  <c r="E33" i="6" s="1"/>
  <c r="G32" i="6"/>
  <c r="C32" i="6" s="1"/>
  <c r="E32" i="6" s="1"/>
  <c r="G19" i="6"/>
  <c r="C19" i="6"/>
  <c r="E19" i="6"/>
  <c r="G18" i="6"/>
  <c r="C18" i="6" s="1"/>
  <c r="E18" i="6" s="1"/>
  <c r="G17" i="6"/>
  <c r="C17" i="6"/>
  <c r="E17" i="6" s="1"/>
  <c r="G16" i="6"/>
  <c r="C16" i="6"/>
  <c r="E16" i="6" s="1"/>
  <c r="G15" i="6"/>
  <c r="C15" i="6"/>
  <c r="E15" i="6" s="1"/>
  <c r="G14" i="6"/>
  <c r="C14" i="6" s="1"/>
  <c r="E14" i="6" s="1"/>
  <c r="G13" i="6"/>
  <c r="C13" i="6" s="1"/>
  <c r="E13" i="6" s="1"/>
  <c r="G12" i="6"/>
  <c r="C12" i="6" s="1"/>
  <c r="E12" i="6" s="1"/>
  <c r="G11" i="6"/>
  <c r="C11" i="6"/>
  <c r="E11" i="6"/>
  <c r="G31" i="6"/>
  <c r="C31" i="6" s="1"/>
  <c r="E31" i="6" s="1"/>
  <c r="G30" i="6"/>
  <c r="C30" i="6"/>
  <c r="E30" i="6" s="1"/>
  <c r="G29" i="6"/>
  <c r="C29" i="6"/>
  <c r="E29" i="6" s="1"/>
  <c r="G28" i="6"/>
  <c r="C28" i="6"/>
  <c r="E28" i="6" s="1"/>
  <c r="G27" i="6"/>
  <c r="C27" i="6" s="1"/>
  <c r="E27" i="6" s="1"/>
  <c r="G26" i="6"/>
  <c r="C26" i="6" s="1"/>
  <c r="E26" i="6" s="1"/>
  <c r="G25" i="6"/>
  <c r="C25" i="6" s="1"/>
  <c r="E25" i="6" s="1"/>
  <c r="G24" i="6"/>
  <c r="C24" i="6"/>
  <c r="E24" i="6"/>
  <c r="G23" i="6"/>
  <c r="C23" i="6" s="1"/>
  <c r="E23" i="6" s="1"/>
  <c r="H22" i="6"/>
  <c r="B22" i="6"/>
  <c r="D22" i="6"/>
  <c r="A22" i="6"/>
  <c r="H37" i="6"/>
  <c r="B37" i="6" s="1"/>
  <c r="D37" i="6"/>
  <c r="A37" i="6"/>
  <c r="H21" i="6"/>
  <c r="B21" i="6"/>
  <c r="D21" i="6"/>
  <c r="A21" i="6"/>
  <c r="H20" i="6"/>
  <c r="B20" i="6" s="1"/>
  <c r="D20" i="6"/>
  <c r="A20" i="6"/>
  <c r="H36" i="6"/>
  <c r="B36" i="6"/>
  <c r="D36" i="6"/>
  <c r="A36" i="6"/>
  <c r="H35" i="6"/>
  <c r="B35" i="6" s="1"/>
  <c r="D35" i="6"/>
  <c r="A35" i="6"/>
  <c r="H34" i="6"/>
  <c r="B34" i="6"/>
  <c r="D34" i="6"/>
  <c r="A34" i="6"/>
  <c r="H33" i="6"/>
  <c r="B33" i="6" s="1"/>
  <c r="D33" i="6"/>
  <c r="A33" i="6"/>
  <c r="H32" i="6"/>
  <c r="B32" i="6"/>
  <c r="D32" i="6"/>
  <c r="A32" i="6"/>
  <c r="H19" i="6"/>
  <c r="B19" i="6" s="1"/>
  <c r="D19" i="6"/>
  <c r="A19" i="6"/>
  <c r="H18" i="6"/>
  <c r="B18" i="6"/>
  <c r="D18" i="6"/>
  <c r="A18" i="6"/>
  <c r="H17" i="6"/>
  <c r="B17" i="6" s="1"/>
  <c r="D17" i="6"/>
  <c r="A17" i="6"/>
  <c r="H16" i="6"/>
  <c r="B16" i="6"/>
  <c r="D16" i="6"/>
  <c r="A16" i="6"/>
  <c r="H15" i="6"/>
  <c r="B15" i="6" s="1"/>
  <c r="D15" i="6"/>
  <c r="A15" i="6"/>
  <c r="H14" i="6"/>
  <c r="B14" i="6"/>
  <c r="D14" i="6"/>
  <c r="A14" i="6"/>
  <c r="H13" i="6"/>
  <c r="B13" i="6" s="1"/>
  <c r="D13" i="6"/>
  <c r="A13" i="6"/>
  <c r="H12" i="6"/>
  <c r="B12" i="6"/>
  <c r="D12" i="6"/>
  <c r="A12" i="6"/>
  <c r="H11" i="6"/>
  <c r="B11" i="6" s="1"/>
  <c r="D11" i="6"/>
  <c r="A11" i="6"/>
  <c r="H31" i="6"/>
  <c r="B31" i="6"/>
  <c r="D31" i="6"/>
  <c r="A31" i="6"/>
  <c r="H30" i="6"/>
  <c r="B30" i="6" s="1"/>
  <c r="D30" i="6"/>
  <c r="A30" i="6"/>
  <c r="H29" i="6"/>
  <c r="B29" i="6"/>
  <c r="D29" i="6"/>
  <c r="A29" i="6"/>
  <c r="H28" i="6"/>
  <c r="B28" i="6" s="1"/>
  <c r="D28" i="6"/>
  <c r="A28" i="6"/>
  <c r="H27" i="6"/>
  <c r="B27" i="6"/>
  <c r="D27" i="6"/>
  <c r="A27" i="6"/>
  <c r="H26" i="6"/>
  <c r="B26" i="6" s="1"/>
  <c r="D26" i="6"/>
  <c r="A26" i="6"/>
  <c r="H25" i="6"/>
  <c r="B25" i="6"/>
  <c r="D25" i="6"/>
  <c r="A25" i="6"/>
  <c r="H24" i="6"/>
  <c r="B24" i="6" s="1"/>
  <c r="D24" i="6"/>
  <c r="A24" i="6"/>
  <c r="H23" i="6"/>
  <c r="B23" i="6"/>
  <c r="D23" i="6"/>
  <c r="A23" i="6"/>
  <c r="U34" i="5"/>
  <c r="I34" i="5"/>
  <c r="E26" i="5"/>
  <c r="F26" i="5"/>
  <c r="G26" i="5" s="1"/>
  <c r="I26" i="5" s="1"/>
  <c r="F16" i="5"/>
  <c r="F17" i="5" s="1"/>
  <c r="C17" i="5"/>
  <c r="T19" i="5"/>
  <c r="Q26" i="5"/>
  <c r="Q31" i="5"/>
  <c r="Q32" i="5"/>
  <c r="Q33" i="5"/>
  <c r="Q34" i="5"/>
  <c r="Q35" i="5"/>
  <c r="Q36" i="5"/>
  <c r="Q37" i="5"/>
  <c r="Q38" i="5"/>
  <c r="Q39" i="5"/>
  <c r="Q40" i="5"/>
  <c r="Q46" i="5"/>
  <c r="Q47" i="5"/>
  <c r="Q49" i="5"/>
  <c r="Q50" i="5"/>
  <c r="C11" i="5"/>
  <c r="C12" i="5" l="1"/>
  <c r="O54" i="5" l="1"/>
  <c r="O25" i="5"/>
  <c r="O32" i="5"/>
  <c r="O22" i="5"/>
  <c r="O29" i="5"/>
  <c r="O52" i="5"/>
  <c r="O31" i="5"/>
  <c r="O45" i="5"/>
  <c r="O43" i="5"/>
  <c r="O26" i="5"/>
  <c r="O53" i="5"/>
  <c r="O40" i="5"/>
  <c r="O30" i="5"/>
  <c r="O28" i="5"/>
  <c r="O23" i="5"/>
  <c r="O48" i="5"/>
  <c r="O42" i="5"/>
  <c r="O33" i="5"/>
  <c r="C16" i="5"/>
  <c r="D18" i="5" s="1"/>
  <c r="O39" i="5"/>
  <c r="O27" i="5"/>
  <c r="O36" i="5"/>
  <c r="O46" i="5"/>
  <c r="O38" i="5"/>
  <c r="O24" i="5"/>
  <c r="O34" i="5"/>
  <c r="O49" i="5"/>
  <c r="O47" i="5"/>
  <c r="O35" i="5"/>
  <c r="O41" i="5"/>
  <c r="O37" i="5"/>
  <c r="O21" i="5"/>
  <c r="O51" i="5"/>
  <c r="O50" i="5"/>
  <c r="C15" i="5"/>
  <c r="O44" i="5"/>
  <c r="C18" i="5" l="1"/>
  <c r="F18" i="5"/>
  <c r="F19" i="5" s="1"/>
</calcChain>
</file>

<file path=xl/sharedStrings.xml><?xml version="1.0" encoding="utf-8"?>
<sst xmlns="http://schemas.openxmlformats.org/spreadsheetml/2006/main" count="336" uniqueCount="180">
  <si>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</si>
  <si>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</si>
  <si>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</si>
  <si>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</si>
  <si>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</si>
  <si>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</si>
  <si>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</si>
  <si>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</si>
  <si>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</si>
  <si>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</si>
  <si>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</si>
  <si>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</si>
  <si>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</si>
  <si>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</si>
  <si>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</si>
  <si>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</si>
  <si>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</si>
  <si>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</si>
  <si>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</si>
  <si>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</si>
  <si>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</si>
  <si>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</si>
  <si>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</si>
  <si>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</si>
  <si>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</si>
  <si>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</si>
  <si>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</si>
  <si>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</si>
  <si>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</si>
  <si>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</si>
  <si>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BBSAG Bull.95</t>
  </si>
  <si>
    <t>BBSAG Bull.102</t>
  </si>
  <si>
    <t>BBSAG Bull.108</t>
  </si>
  <si>
    <t>IBVS 5378</t>
  </si>
  <si>
    <t>IBVS 5040</t>
  </si>
  <si>
    <t>IBVS 5672</t>
  </si>
  <si>
    <t># of data points:</t>
  </si>
  <si>
    <t>V1141 Cyg / gsc 2668-0093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</si>
  <si>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</si>
  <si>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</si>
  <si>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</si>
  <si>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</si>
  <si>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</si>
  <si>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</si>
  <si>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</si>
  <si>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</si>
  <si>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0160</t>
  </si>
  <si>
    <t>II</t>
  </si>
  <si>
    <t>BAD?</t>
  </si>
  <si>
    <t>IBVS 6118</t>
  </si>
  <si>
    <t>I</t>
  </si>
  <si>
    <t>OEJV 0168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</si>
  <si>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</si>
  <si>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</si>
  <si>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</si>
  <si>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</si>
  <si>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</si>
  <si>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</si>
  <si>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</si>
  <si>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</si>
  <si>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</si>
  <si>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</si>
  <si>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</si>
  <si>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2436819.464 </t>
  </si>
  <si>
    <t> 07.09.1959 23:08 </t>
  </si>
  <si>
    <t> 0.003 </t>
  </si>
  <si>
    <t>P </t>
  </si>
  <si>
    <t> Busch &amp; Häussler </t>
  </si>
  <si>
    <t> HABZ 45/47 </t>
  </si>
  <si>
    <t>2436899.249 </t>
  </si>
  <si>
    <t> 26.11.1959 17:58 </t>
  </si>
  <si>
    <t> -0.027 </t>
  </si>
  <si>
    <t>2437191.362 </t>
  </si>
  <si>
    <t> 13.09.1960 20:41 </t>
  </si>
  <si>
    <t> -0.004 </t>
  </si>
  <si>
    <t>2437199.444 </t>
  </si>
  <si>
    <t> 21.09.1960 22:39 </t>
  </si>
  <si>
    <t> 0.012 </t>
  </si>
  <si>
    <t>2437959.386 </t>
  </si>
  <si>
    <t> 21.10.1962 21:15 </t>
  </si>
  <si>
    <t>2438322.366 </t>
  </si>
  <si>
    <t> 19.10.1963 20:47 </t>
  </si>
  <si>
    <t>2438642.462 </t>
  </si>
  <si>
    <t> 03.09.1964 23:05 </t>
  </si>
  <si>
    <t> -0.010 </t>
  </si>
  <si>
    <t>2438671.334 </t>
  </si>
  <si>
    <t> 02.10.1964 20:00 </t>
  </si>
  <si>
    <t> -0.007 </t>
  </si>
  <si>
    <t>2439028.380 </t>
  </si>
  <si>
    <t> 24.09.1965 21:07 </t>
  </si>
  <si>
    <t>2448016.583 </t>
  </si>
  <si>
    <t> 05.05.1990 01:59 </t>
  </si>
  <si>
    <t> 0.082 </t>
  </si>
  <si>
    <t>V </t>
  </si>
  <si>
    <t> J.Vandenbroere </t>
  </si>
  <si>
    <t> BBS 95 </t>
  </si>
  <si>
    <t>2448810.416 </t>
  </si>
  <si>
    <t> 06.07.1992 21:59 </t>
  </si>
  <si>
    <t> 0.009 </t>
  </si>
  <si>
    <t> BBS 102 </t>
  </si>
  <si>
    <t>2448838.455 </t>
  </si>
  <si>
    <t> 03.08.1992 22:55 </t>
  </si>
  <si>
    <t> 0.028 </t>
  </si>
  <si>
    <t>2449608.450 </t>
  </si>
  <si>
    <t> 12.09.1994 22:48 </t>
  </si>
  <si>
    <t> -0.108 </t>
  </si>
  <si>
    <t> BBS 108 </t>
  </si>
  <si>
    <t>2449631.378 </t>
  </si>
  <si>
    <t> 05.10.1994 21:04 </t>
  </si>
  <si>
    <t> -0.105 </t>
  </si>
  <si>
    <t>2449636.436 </t>
  </si>
  <si>
    <t> 10.10.1994 22:27 </t>
  </si>
  <si>
    <t> -0.142 </t>
  </si>
  <si>
    <t>2449654.313 </t>
  </si>
  <si>
    <t> 28.10.1994 19:30 </t>
  </si>
  <si>
    <t> -0.096 </t>
  </si>
  <si>
    <t>2452551.5866 </t>
  </si>
  <si>
    <t> 04.10.2002 02:04 </t>
  </si>
  <si>
    <t> 0.0595 </t>
  </si>
  <si>
    <t>E </t>
  </si>
  <si>
    <t>?</t>
  </si>
  <si>
    <t> S.Dvorak </t>
  </si>
  <si>
    <t>IBVS 5378 </t>
  </si>
  <si>
    <t>2453681.6193 </t>
  </si>
  <si>
    <t> 07.11.2005 02:51 </t>
  </si>
  <si>
    <t> -0.0557 </t>
  </si>
  <si>
    <t> R. Nelson </t>
  </si>
  <si>
    <t>IBVS 5672 </t>
  </si>
  <si>
    <t>2454801.2337 </t>
  </si>
  <si>
    <t> 30.11.2008 17:36 </t>
  </si>
  <si>
    <t> 0.0246 </t>
  </si>
  <si>
    <t>C </t>
  </si>
  <si>
    <t>-U;-I</t>
  </si>
  <si>
    <t> M.&amp; K.Rätz </t>
  </si>
  <si>
    <t>BAVM 209 </t>
  </si>
  <si>
    <t>2455044.5112 </t>
  </si>
  <si>
    <t> 01.08.2009 00:16 </t>
  </si>
  <si>
    <t>20072</t>
  </si>
  <si>
    <t> 0.0358 </t>
  </si>
  <si>
    <t> M.Rätz &amp; K.Rätz </t>
  </si>
  <si>
    <t>BAVM 214 </t>
  </si>
  <si>
    <t>2455124.3133 </t>
  </si>
  <si>
    <t> 19.10.2009 19:31 </t>
  </si>
  <si>
    <t>20166</t>
  </si>
  <si>
    <t> 0.0228 </t>
  </si>
  <si>
    <t>2455377.4176 </t>
  </si>
  <si>
    <t> 29.06.2010 22:01 </t>
  </si>
  <si>
    <t>20464</t>
  </si>
  <si>
    <t> 0.0963 </t>
  </si>
  <si>
    <t>-I</t>
  </si>
  <si>
    <t> F.Agerer </t>
  </si>
  <si>
    <t>2455686.5030 </t>
  </si>
  <si>
    <t> 05.05.2011 00:04 </t>
  </si>
  <si>
    <t>20828</t>
  </si>
  <si>
    <t> 0.1104 </t>
  </si>
  <si>
    <t>BAVM 220 </t>
  </si>
  <si>
    <t>2455830.324 </t>
  </si>
  <si>
    <t> 25.09.2011 19:46 </t>
  </si>
  <si>
    <t>20997.5</t>
  </si>
  <si>
    <t> 0.010 </t>
  </si>
  <si>
    <t> R.D?ev?ny </t>
  </si>
  <si>
    <t>OEJV 0160 </t>
  </si>
  <si>
    <t>2455830.32437 </t>
  </si>
  <si>
    <t> 25.09.2011 19:47 </t>
  </si>
  <si>
    <t> 0.00989 </t>
  </si>
  <si>
    <t>R</t>
  </si>
  <si>
    <t>2455833.3018 </t>
  </si>
  <si>
    <t> 28.09.2011 19:14 </t>
  </si>
  <si>
    <t>21001</t>
  </si>
  <si>
    <t> 0.0155 </t>
  </si>
  <si>
    <t>BAVM 225 </t>
  </si>
  <si>
    <t>2456465.4681 </t>
  </si>
  <si>
    <t> 21.06.2013 23:14 </t>
  </si>
  <si>
    <t>21745.5</t>
  </si>
  <si>
    <t> 0.0292 </t>
  </si>
  <si>
    <t>BAVM 234 </t>
  </si>
  <si>
    <t>Rc</t>
  </si>
  <si>
    <t>OEJV 0211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</si>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</sst>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5" xfId="0" applyBorder="1" applyAlignment="1"/>
    <xf numFmtId="0" fontId="9" fillId="0" borderId="0" xfId="0" applyFont="1">
      <alignment vertical="top"/>
    </xf>
    <xf numFmtId="0" fontId="37" fillId="0" borderId="0" xfId="0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V1141 Cyg - O-C Diagr.</a:t>
            </a:r>
          </a:p>
        </c:rich>
      </c:tx>
      <c:layout>
        <c:manualLayout>
          <c:xMode val="edge"/>
          <c:yMode val="edge"/>
          <c:x val="0.3825857519788918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277044854881"/>
          <c:y val="0.1458966565349544"/>
          <c:w val="0.8390501319261213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3-44F2-8FFC-E2DF33078D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-9.7003791990573518E-2</c:v>
                </c:pt>
                <c:pt idx="1">
                  <c:v>-0.11394961807673099</c:v>
                </c:pt>
                <c:pt idx="2">
                  <c:v>-0.11180355611577397</c:v>
                </c:pt>
                <c:pt idx="3">
                  <c:v>-6.9551829634292517E-2</c:v>
                </c:pt>
                <c:pt idx="4">
                  <c:v>-3.2647904932673555E-2</c:v>
                </c:pt>
                <c:pt idx="5">
                  <c:v>0</c:v>
                </c:pt>
                <c:pt idx="6">
                  <c:v>-3.2394031804869883E-2</c:v>
                </c:pt>
                <c:pt idx="7">
                  <c:v>-3.7482699888641946E-2</c:v>
                </c:pt>
                <c:pt idx="8">
                  <c:v>-4.9022793653421104E-2</c:v>
                </c:pt>
                <c:pt idx="9">
                  <c:v>-2.7399829035857692E-2</c:v>
                </c:pt>
                <c:pt idx="10">
                  <c:v>3.4798825836332981E-2</c:v>
                </c:pt>
                <c:pt idx="11">
                  <c:v>1.709892899816623E-2</c:v>
                </c:pt>
                <c:pt idx="13">
                  <c:v>3.1640668108593673E-2</c:v>
                </c:pt>
                <c:pt idx="14">
                  <c:v>3.1469665831536986E-2</c:v>
                </c:pt>
                <c:pt idx="15">
                  <c:v>2.7405938060837798E-2</c:v>
                </c:pt>
                <c:pt idx="16">
                  <c:v>3.8298663566820323E-2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3-44F2-8FFC-E2DF33078D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73-44F2-8FFC-E2DF33078D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2.3113454226404428E-2</c:v>
                </c:pt>
                <c:pt idx="18">
                  <c:v>2.4835649222950451E-2</c:v>
                </c:pt>
                <c:pt idx="19">
                  <c:v>2.6250537244777661E-2</c:v>
                </c:pt>
                <c:pt idx="20">
                  <c:v>3.1261335403542034E-2</c:v>
                </c:pt>
                <c:pt idx="21">
                  <c:v>3.1933947662764695E-2</c:v>
                </c:pt>
                <c:pt idx="22">
                  <c:v>3.2088121581182349E-2</c:v>
                </c:pt>
                <c:pt idx="23">
                  <c:v>3.3201732861925848E-2</c:v>
                </c:pt>
                <c:pt idx="24">
                  <c:v>3.4945884050102904E-2</c:v>
                </c:pt>
                <c:pt idx="25">
                  <c:v>3.3782324353524018E-2</c:v>
                </c:pt>
                <c:pt idx="26">
                  <c:v>3.4152324355090968E-2</c:v>
                </c:pt>
                <c:pt idx="27">
                  <c:v>3.3897778601385653E-2</c:v>
                </c:pt>
                <c:pt idx="28">
                  <c:v>3.7768715963466093E-2</c:v>
                </c:pt>
                <c:pt idx="29">
                  <c:v>4.064131199993426E-2</c:v>
                </c:pt>
                <c:pt idx="30">
                  <c:v>4.4633151366724633E-2</c:v>
                </c:pt>
                <c:pt idx="31">
                  <c:v>4.4026474628481083E-2</c:v>
                </c:pt>
                <c:pt idx="32">
                  <c:v>5.1122429576935247E-2</c:v>
                </c:pt>
                <c:pt idx="33">
                  <c:v>5.4810428417113144E-2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73-44F2-8FFC-E2DF33078D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73-44F2-8FFC-E2DF33078D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73-44F2-8FFC-E2DF33078D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0.01</c:v>
                  </c:pt>
                  <c:pt idx="12">
                    <c:v>1E-3</c:v>
                  </c:pt>
                  <c:pt idx="13">
                    <c:v>8.0000000000000002E-3</c:v>
                  </c:pt>
                  <c:pt idx="14">
                    <c:v>4.0000000000000001E-3</c:v>
                  </c:pt>
                  <c:pt idx="15">
                    <c:v>6.0000000000000001E-3</c:v>
                  </c:pt>
                  <c:pt idx="16">
                    <c:v>7.0000000000000001E-3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1E-3</c:v>
                  </c:pt>
                  <c:pt idx="3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73-44F2-8FFC-E2DF33078D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-4.4455375295055742E-2</c:v>
                </c:pt>
                <c:pt idx="1">
                  <c:v>-4.411612822730368E-2</c:v>
                </c:pt>
                <c:pt idx="2">
                  <c:v>-4.2874332057659004E-2</c:v>
                </c:pt>
                <c:pt idx="3">
                  <c:v>-4.2840154181430251E-2</c:v>
                </c:pt>
                <c:pt idx="4">
                  <c:v>-3.9609711954179276E-2</c:v>
                </c:pt>
                <c:pt idx="5">
                  <c:v>-3.9431227489429121E-2</c:v>
                </c:pt>
                <c:pt idx="6">
                  <c:v>-3.8066644134814483E-2</c:v>
                </c:pt>
                <c:pt idx="7">
                  <c:v>-3.6705858322003043E-2</c:v>
                </c:pt>
                <c:pt idx="8">
                  <c:v>-3.6583071137033081E-2</c:v>
                </c:pt>
                <c:pt idx="9">
                  <c:v>-3.506532026302292E-2</c:v>
                </c:pt>
                <c:pt idx="10">
                  <c:v>3.1442795134546467E-3</c:v>
                </c:pt>
                <c:pt idx="11">
                  <c:v>6.5190283292270237E-3</c:v>
                </c:pt>
                <c:pt idx="12">
                  <c:v>6.6380179723937865E-3</c:v>
                </c:pt>
                <c:pt idx="13">
                  <c:v>9.9114990067476413E-3</c:v>
                </c:pt>
                <c:pt idx="14">
                  <c:v>1.0008969246362971E-2</c:v>
                </c:pt>
                <c:pt idx="15">
                  <c:v>1.0030488649914404E-2</c:v>
                </c:pt>
                <c:pt idx="16">
                  <c:v>1.0106439485978301E-2</c:v>
                </c:pt>
                <c:pt idx="17">
                  <c:v>1.9087625850533821E-2</c:v>
                </c:pt>
                <c:pt idx="18">
                  <c:v>2.2423133401006518E-2</c:v>
                </c:pt>
                <c:pt idx="19">
                  <c:v>2.7227023782047846E-2</c:v>
                </c:pt>
                <c:pt idx="20">
                  <c:v>3.1986609508718566E-2</c:v>
                </c:pt>
                <c:pt idx="21">
                  <c:v>3.3020806726455257E-2</c:v>
                </c:pt>
                <c:pt idx="22">
                  <c:v>3.3360053794207326E-2</c:v>
                </c:pt>
                <c:pt idx="23">
                  <c:v>3.4436023971779153E-2</c:v>
                </c:pt>
                <c:pt idx="24">
                  <c:v>3.5749973435684534E-2</c:v>
                </c:pt>
                <c:pt idx="25">
                  <c:v>3.6361377665998881E-2</c:v>
                </c:pt>
                <c:pt idx="26">
                  <c:v>3.6361377665998881E-2</c:v>
                </c:pt>
                <c:pt idx="27">
                  <c:v>3.6374036138676194E-2</c:v>
                </c:pt>
                <c:pt idx="28">
                  <c:v>3.9061429888070334E-2</c:v>
                </c:pt>
                <c:pt idx="29">
                  <c:v>4.0791843103059389E-2</c:v>
                </c:pt>
                <c:pt idx="30">
                  <c:v>4.3783040196709103E-2</c:v>
                </c:pt>
                <c:pt idx="31">
                  <c:v>4.5505858328091772E-2</c:v>
                </c:pt>
                <c:pt idx="32">
                  <c:v>5.1342680079602063E-2</c:v>
                </c:pt>
                <c:pt idx="33">
                  <c:v>5.1398377359382255E-2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73-44F2-8FFC-E2DF33078D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-1984.5</c:v>
                </c:pt>
                <c:pt idx="1">
                  <c:v>-1850.5</c:v>
                </c:pt>
                <c:pt idx="2">
                  <c:v>-1360</c:v>
                </c:pt>
                <c:pt idx="3">
                  <c:v>-1346.5</c:v>
                </c:pt>
                <c:pt idx="4">
                  <c:v>-70.5</c:v>
                </c:pt>
                <c:pt idx="5">
                  <c:v>0</c:v>
                </c:pt>
                <c:pt idx="6">
                  <c:v>539</c:v>
                </c:pt>
                <c:pt idx="7">
                  <c:v>1076.5</c:v>
                </c:pt>
                <c:pt idx="8">
                  <c:v>1125</c:v>
                </c:pt>
                <c:pt idx="9">
                  <c:v>1724.5</c:v>
                </c:pt>
                <c:pt idx="10">
                  <c:v>16817</c:v>
                </c:pt>
                <c:pt idx="11">
                  <c:v>18150</c:v>
                </c:pt>
                <c:pt idx="12">
                  <c:v>18197</c:v>
                </c:pt>
                <c:pt idx="13">
                  <c:v>19490</c:v>
                </c:pt>
                <c:pt idx="14">
                  <c:v>19528.5</c:v>
                </c:pt>
                <c:pt idx="15">
                  <c:v>19537</c:v>
                </c:pt>
                <c:pt idx="16">
                  <c:v>19567</c:v>
                </c:pt>
                <c:pt idx="17">
                  <c:v>23114.5</c:v>
                </c:pt>
                <c:pt idx="18">
                  <c:v>24432</c:v>
                </c:pt>
                <c:pt idx="19">
                  <c:v>26329.5</c:v>
                </c:pt>
                <c:pt idx="20">
                  <c:v>28209.5</c:v>
                </c:pt>
                <c:pt idx="21">
                  <c:v>28618</c:v>
                </c:pt>
                <c:pt idx="22">
                  <c:v>28752</c:v>
                </c:pt>
                <c:pt idx="23">
                  <c:v>29177</c:v>
                </c:pt>
                <c:pt idx="24">
                  <c:v>29696</c:v>
                </c:pt>
                <c:pt idx="25">
                  <c:v>29937.5</c:v>
                </c:pt>
                <c:pt idx="26">
                  <c:v>29937.5</c:v>
                </c:pt>
                <c:pt idx="27">
                  <c:v>29942.5</c:v>
                </c:pt>
                <c:pt idx="28">
                  <c:v>31004</c:v>
                </c:pt>
                <c:pt idx="29">
                  <c:v>31687.5</c:v>
                </c:pt>
                <c:pt idx="30">
                  <c:v>32869</c:v>
                </c:pt>
                <c:pt idx="31">
                  <c:v>33549.5</c:v>
                </c:pt>
                <c:pt idx="32">
                  <c:v>35855</c:v>
                </c:pt>
                <c:pt idx="33">
                  <c:v>35877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3.4798825836332981E-2</c:v>
                </c:pt>
                <c:pt idx="12">
                  <c:v>6.5864198957569897E-2</c:v>
                </c:pt>
                <c:pt idx="13">
                  <c:v>3.1640668108593673E-2</c:v>
                </c:pt>
                <c:pt idx="14">
                  <c:v>3.1469665831536986E-2</c:v>
                </c:pt>
                <c:pt idx="15">
                  <c:v>2.7405938060837798E-2</c:v>
                </c:pt>
                <c:pt idx="16">
                  <c:v>3.8298663566820323E-2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73-44F2-8FFC-E2DF3307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380984"/>
        <c:axId val="1"/>
      </c:scatterChart>
      <c:valAx>
        <c:axId val="76438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6701846965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17414248021108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38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9366754617413"/>
          <c:y val="0.92097264437689974"/>
          <c:w val="0.634564643799472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323850</xdr:colOff>
      <xdr:row>18</xdr:row>
      <xdr:rowOff>47625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9CF8D105-5D2A-F822-489D-F9BA37CD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672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2701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6" ht="20.25">
      <c r="A1" s="1" t="s">
        <v>37</v>
      </c>
    </row>
    <row r="2" spans="1:6">
      <c r="A2" t="s">
        <v>25</v>
      </c>
      <c r="B2" t="s">
        <v>29</v>
      </c>
    </row>
    <row r="3" spans="1:6" ht="13.5" thickBot="1"/>
    <row r="4" spans="1:6" ht="14.25" thickTop="1" thickBot="1">
      <c r="A4" s="6" t="s">
        <v>1</v>
      </c>
      <c r="C4" s="3">
        <v>38001.404000000002</v>
      </c>
      <c r="D4" s="4">
        <v>0.84909681999999997</v>
      </c>
    </row>
    <row r="5" spans="1:6" ht="13.5" thickTop="1">
      <c r="A5" s="11" t="s">
        <v>38</v>
      </c>
      <c r="B5" s="12"/>
      <c r="C5" s="13">
        <v>-9.5</v>
      </c>
      <c r="D5" s="12" t="s">
        <v>39</v>
      </c>
    </row>
    <row r="6" spans="1:6">
      <c r="A6" s="6" t="s">
        <v>2</v>
      </c>
    </row>
    <row r="7" spans="1:6">
      <c r="A7" t="s">
        <v>3</v>
      </c>
      <c r="C7">
        <v>38001.404000000002</v>
      </c>
    </row>
    <row r="8" spans="1:6">
      <c r="A8" t="s">
        <v>4</v>
      </c>
      <c r="C8">
        <v>0.5955369091499173</v>
      </c>
    </row>
    <row r="9" spans="1:6">
      <c r="A9" s="27" t="s">
        <v>45</v>
      </c>
      <c r="C9" s="28">
        <v>29</v>
      </c>
      <c r="D9" s="16" t="str">
        <f>"F"&amp;C9</f>
        <v>F29</v>
      </c>
      <c r="E9" s="17" t="str">
        <f>"G"&amp;C9</f>
        <v>G29</v>
      </c>
    </row>
    <row r="10" spans="1:6" ht="13.5" thickBot="1">
      <c r="C10" s="5" t="s">
        <v>21</v>
      </c>
      <c r="D10" s="5" t="s">
        <v>22</v>
      </c>
    </row>
    <row r="11" spans="1:6">
      <c r="A11" s="12" t="s">
        <v>17</v>
      </c>
      <c r="B11" s="12"/>
      <c r="C11" s="14">
        <f ca="1">INTERCEPT(INDIRECT($E$9):G992,INDIRECT($D$9):F992)</f>
        <v>-3.9431227489429121E-2</v>
      </c>
      <c r="D11" s="15"/>
      <c r="E11" s="12"/>
    </row>
    <row r="12" spans="1:6">
      <c r="A12" s="12" t="s">
        <v>18</v>
      </c>
      <c r="B12" s="12"/>
      <c r="C12" s="14">
        <f ca="1">SLOPE(INDIRECT($E$9):G992,INDIRECT($D$9):F992)</f>
        <v>2.5316945354631483E-6</v>
      </c>
      <c r="D12" s="15"/>
      <c r="E12" s="12"/>
    </row>
    <row r="13" spans="1:6">
      <c r="A13" s="12" t="s">
        <v>20</v>
      </c>
      <c r="B13" s="12"/>
      <c r="C13" s="15" t="s">
        <v>15</v>
      </c>
    </row>
    <row r="14" spans="1:6">
      <c r="A14" s="12"/>
      <c r="B14" s="12"/>
      <c r="C14" s="12"/>
    </row>
    <row r="15" spans="1:6">
      <c r="A15" s="20" t="s">
        <v>19</v>
      </c>
      <c r="B15" s="12"/>
      <c r="C15" s="21">
        <f ca="1">(C7+C11)+(C8+C12)*INT(MAX(F21:F3533))</f>
        <v>59367.533087948948</v>
      </c>
      <c r="E15" s="18" t="s">
        <v>40</v>
      </c>
      <c r="F15" s="13">
        <v>1</v>
      </c>
    </row>
    <row r="16" spans="1:6">
      <c r="A16" s="22" t="s">
        <v>5</v>
      </c>
      <c r="B16" s="12"/>
      <c r="C16" s="23">
        <f ca="1">+C8+C12</f>
        <v>0.59553944084445276</v>
      </c>
      <c r="E16" s="18" t="s">
        <v>41</v>
      </c>
      <c r="F16" s="19">
        <f ca="1">NOW()+15018.5+$C$5/24</f>
        <v>60344.711925810181</v>
      </c>
    </row>
    <row r="17" spans="1:22" ht="13.5" thickBot="1">
      <c r="A17" s="18" t="s">
        <v>36</v>
      </c>
      <c r="B17" s="12"/>
      <c r="C17" s="12">
        <f>COUNT(C21:C2191)</f>
        <v>34</v>
      </c>
      <c r="E17" s="18" t="s">
        <v>42</v>
      </c>
      <c r="F17" s="19">
        <f ca="1">ROUND(2*(F16-$C$7)/$C$8,0)/2+F15</f>
        <v>37519</v>
      </c>
    </row>
    <row r="18" spans="1:22" ht="14.25" thickTop="1" thickBot="1">
      <c r="A18" s="22" t="s">
        <v>6</v>
      </c>
      <c r="B18" s="12"/>
      <c r="C18" s="25">
        <f ca="1">+C15</f>
        <v>59367.533087948948</v>
      </c>
      <c r="D18" s="26">
        <f ca="1">+C16</f>
        <v>0.59553944084445276</v>
      </c>
      <c r="E18" s="18" t="s">
        <v>43</v>
      </c>
      <c r="F18" s="17">
        <f ca="1">ROUND(2*(F16-$C$15)/$C$16,0)/2+F15</f>
        <v>1642</v>
      </c>
    </row>
    <row r="19" spans="1:22" ht="13.5" thickTop="1">
      <c r="E19" s="18" t="s">
        <v>44</v>
      </c>
      <c r="F19" s="24">
        <f ca="1">+$C$15+$C$16*F18-15018.5-$C$5/24</f>
        <v>45327.304683148875</v>
      </c>
      <c r="T19">
        <f>SQRT(SUM(T22:T33)/(COUNT(T22:T33)-1))</f>
        <v>0</v>
      </c>
    </row>
    <row r="20" spans="1:22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52</v>
      </c>
      <c r="I20" s="8" t="s">
        <v>53</v>
      </c>
      <c r="J20" s="8" t="s">
        <v>54</v>
      </c>
      <c r="K20" s="8" t="s">
        <v>55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R20" s="15"/>
      <c r="S20" s="15"/>
      <c r="U20" s="29" t="s">
        <v>48</v>
      </c>
    </row>
    <row r="21" spans="1:22">
      <c r="A21" s="51" t="s">
        <v>68</v>
      </c>
      <c r="B21" s="53" t="s">
        <v>50</v>
      </c>
      <c r="C21" s="52">
        <v>36819.464</v>
      </c>
      <c r="D21" s="52" t="s">
        <v>53</v>
      </c>
      <c r="E21">
        <f t="shared" ref="E21:E50" si="0">+(C21-C$7)/C$8</f>
        <v>-1984.662884601275</v>
      </c>
      <c r="F21">
        <f t="shared" ref="F21:F52" si="1">ROUND(2*E21,0)/2</f>
        <v>-1984.5</v>
      </c>
      <c r="G21">
        <f t="shared" ref="G21:G30" si="2">+C21-(C$7+F21*C$8)</f>
        <v>-9.7003791990573518E-2</v>
      </c>
      <c r="I21" s="33">
        <f t="shared" ref="I21:I30" si="3">G21</f>
        <v>-9.7003791990573518E-2</v>
      </c>
      <c r="O21">
        <f t="shared" ref="O21:O50" ca="1" si="4">+C$11+C$12*$F21</f>
        <v>-4.4455375295055742E-2</v>
      </c>
      <c r="Q21" s="2">
        <f t="shared" ref="Q21:Q50" si="5">+C21-15018.5</f>
        <v>21800.964</v>
      </c>
      <c r="R21" s="2"/>
      <c r="S21" s="2"/>
    </row>
    <row r="22" spans="1:22">
      <c r="A22" s="51" t="s">
        <v>68</v>
      </c>
      <c r="B22" s="53" t="s">
        <v>50</v>
      </c>
      <c r="C22" s="52">
        <v>36899.249000000003</v>
      </c>
      <c r="D22" s="52" t="s">
        <v>53</v>
      </c>
      <c r="E22">
        <f t="shared" si="0"/>
        <v>-1850.6913393046277</v>
      </c>
      <c r="F22">
        <f t="shared" si="1"/>
        <v>-1850.5</v>
      </c>
      <c r="G22">
        <f t="shared" si="2"/>
        <v>-0.11394961807673099</v>
      </c>
      <c r="I22" s="33">
        <f t="shared" si="3"/>
        <v>-0.11394961807673099</v>
      </c>
      <c r="O22">
        <f t="shared" ca="1" si="4"/>
        <v>-4.411612822730368E-2</v>
      </c>
      <c r="Q22" s="2">
        <f t="shared" si="5"/>
        <v>21880.749000000003</v>
      </c>
      <c r="R22" s="2"/>
      <c r="S22" s="2"/>
    </row>
    <row r="23" spans="1:22">
      <c r="A23" s="51" t="s">
        <v>68</v>
      </c>
      <c r="B23" s="53" t="s">
        <v>50</v>
      </c>
      <c r="C23" s="52">
        <v>37191.362000000001</v>
      </c>
      <c r="D23" s="52" t="s">
        <v>53</v>
      </c>
      <c r="E23">
        <f t="shared" si="0"/>
        <v>-1360.1877357295509</v>
      </c>
      <c r="F23">
        <f t="shared" si="1"/>
        <v>-1360</v>
      </c>
      <c r="G23">
        <f t="shared" si="2"/>
        <v>-0.11180355611577397</v>
      </c>
      <c r="I23" s="33">
        <f t="shared" si="3"/>
        <v>-0.11180355611577397</v>
      </c>
      <c r="O23">
        <f t="shared" ca="1" si="4"/>
        <v>-4.2874332057659004E-2</v>
      </c>
      <c r="Q23" s="2">
        <f t="shared" si="5"/>
        <v>22172.862000000001</v>
      </c>
      <c r="R23" s="2"/>
      <c r="S23" s="2"/>
    </row>
    <row r="24" spans="1:22">
      <c r="A24" s="51" t="s">
        <v>68</v>
      </c>
      <c r="B24" s="53" t="s">
        <v>47</v>
      </c>
      <c r="C24" s="52">
        <v>37199.444000000003</v>
      </c>
      <c r="D24" s="52" t="s">
        <v>53</v>
      </c>
      <c r="E24">
        <f t="shared" si="0"/>
        <v>-1346.6167884451272</v>
      </c>
      <c r="F24">
        <f t="shared" si="1"/>
        <v>-1346.5</v>
      </c>
      <c r="G24">
        <f t="shared" si="2"/>
        <v>-6.9551829634292517E-2</v>
      </c>
      <c r="I24" s="33">
        <f t="shared" si="3"/>
        <v>-6.9551829634292517E-2</v>
      </c>
      <c r="O24">
        <f t="shared" ca="1" si="4"/>
        <v>-4.2840154181430251E-2</v>
      </c>
      <c r="Q24" s="2">
        <f t="shared" si="5"/>
        <v>22180.944000000003</v>
      </c>
      <c r="R24" s="2"/>
      <c r="S24" s="2"/>
    </row>
    <row r="25" spans="1:22">
      <c r="A25" s="51" t="s">
        <v>68</v>
      </c>
      <c r="B25" s="53" t="s">
        <v>47</v>
      </c>
      <c r="C25" s="52">
        <v>37959.385999999999</v>
      </c>
      <c r="D25" s="52" t="s">
        <v>53</v>
      </c>
      <c r="E25">
        <f t="shared" si="0"/>
        <v>-70.554820959764015</v>
      </c>
      <c r="F25">
        <f t="shared" si="1"/>
        <v>-70.5</v>
      </c>
      <c r="G25">
        <f t="shared" si="2"/>
        <v>-3.2647904932673555E-2</v>
      </c>
      <c r="I25" s="33">
        <f t="shared" si="3"/>
        <v>-3.2647904932673555E-2</v>
      </c>
      <c r="O25">
        <f t="shared" ca="1" si="4"/>
        <v>-3.9609711954179276E-2</v>
      </c>
      <c r="Q25" s="2">
        <f t="shared" si="5"/>
        <v>22940.885999999999</v>
      </c>
      <c r="R25" s="2"/>
      <c r="S25" s="2"/>
    </row>
    <row r="26" spans="1:22">
      <c r="A26" t="s">
        <v>13</v>
      </c>
      <c r="C26" s="9">
        <v>38001.404000000002</v>
      </c>
      <c r="D26" s="9"/>
      <c r="E26">
        <f t="shared" si="0"/>
        <v>0</v>
      </c>
      <c r="F26">
        <f t="shared" si="1"/>
        <v>0</v>
      </c>
      <c r="G26">
        <f t="shared" si="2"/>
        <v>0</v>
      </c>
      <c r="I26" s="33">
        <f t="shared" si="3"/>
        <v>0</v>
      </c>
      <c r="O26">
        <f t="shared" ca="1" si="4"/>
        <v>-3.9431227489429121E-2</v>
      </c>
      <c r="Q26" s="2">
        <f t="shared" si="5"/>
        <v>22982.904000000002</v>
      </c>
      <c r="R26" s="2"/>
      <c r="S26" s="2"/>
    </row>
    <row r="27" spans="1:22">
      <c r="A27" s="51" t="s">
        <v>68</v>
      </c>
      <c r="B27" s="53" t="s">
        <v>50</v>
      </c>
      <c r="C27" s="52">
        <v>38322.366000000002</v>
      </c>
      <c r="D27" s="52" t="s">
        <v>53</v>
      </c>
      <c r="E27">
        <f t="shared" si="0"/>
        <v>538.94560533308993</v>
      </c>
      <c r="F27">
        <f t="shared" si="1"/>
        <v>539</v>
      </c>
      <c r="G27">
        <f t="shared" si="2"/>
        <v>-3.2394031804869883E-2</v>
      </c>
      <c r="I27" s="33">
        <f t="shared" si="3"/>
        <v>-3.2394031804869883E-2</v>
      </c>
      <c r="O27">
        <f t="shared" ca="1" si="4"/>
        <v>-3.8066644134814483E-2</v>
      </c>
      <c r="Q27" s="2">
        <f t="shared" si="5"/>
        <v>23303.866000000002</v>
      </c>
      <c r="R27" s="2"/>
      <c r="S27" s="2"/>
    </row>
    <row r="28" spans="1:22">
      <c r="A28" s="51" t="s">
        <v>68</v>
      </c>
      <c r="B28" s="53" t="s">
        <v>50</v>
      </c>
      <c r="C28" s="52">
        <v>38642.462</v>
      </c>
      <c r="D28" s="52" t="s">
        <v>53</v>
      </c>
      <c r="E28">
        <f t="shared" si="0"/>
        <v>1076.4370606601994</v>
      </c>
      <c r="F28">
        <f t="shared" si="1"/>
        <v>1076.5</v>
      </c>
      <c r="G28">
        <f t="shared" si="2"/>
        <v>-3.7482699888641946E-2</v>
      </c>
      <c r="I28" s="33">
        <f t="shared" si="3"/>
        <v>-3.7482699888641946E-2</v>
      </c>
      <c r="O28">
        <f t="shared" ca="1" si="4"/>
        <v>-3.6705858322003043E-2</v>
      </c>
      <c r="Q28" s="2">
        <f t="shared" si="5"/>
        <v>23623.962</v>
      </c>
      <c r="R28" s="2"/>
      <c r="S28" s="2"/>
    </row>
    <row r="29" spans="1:22">
      <c r="A29" s="51" t="s">
        <v>68</v>
      </c>
      <c r="B29" s="53" t="s">
        <v>50</v>
      </c>
      <c r="C29" s="52">
        <v>38671.334000000003</v>
      </c>
      <c r="D29" s="52" t="s">
        <v>53</v>
      </c>
      <c r="E29">
        <f t="shared" si="0"/>
        <v>1124.9176830303822</v>
      </c>
      <c r="F29">
        <f t="shared" si="1"/>
        <v>1125</v>
      </c>
      <c r="G29">
        <f t="shared" si="2"/>
        <v>-4.9022793653421104E-2</v>
      </c>
      <c r="I29" s="33">
        <f t="shared" si="3"/>
        <v>-4.9022793653421104E-2</v>
      </c>
      <c r="O29">
        <f t="shared" ca="1" si="4"/>
        <v>-3.6583071137033081E-2</v>
      </c>
      <c r="Q29" s="2">
        <f t="shared" si="5"/>
        <v>23652.834000000003</v>
      </c>
      <c r="R29" s="2"/>
      <c r="S29" s="2"/>
      <c r="V29" s="54"/>
    </row>
    <row r="30" spans="1:22">
      <c r="A30" s="51" t="s">
        <v>68</v>
      </c>
      <c r="B30" s="53" t="s">
        <v>47</v>
      </c>
      <c r="C30" s="52">
        <v>39028.379999999997</v>
      </c>
      <c r="D30" s="52" t="s">
        <v>53</v>
      </c>
      <c r="E30">
        <f t="shared" si="0"/>
        <v>1724.4539913838819</v>
      </c>
      <c r="F30">
        <f t="shared" si="1"/>
        <v>1724.5</v>
      </c>
      <c r="G30">
        <f t="shared" si="2"/>
        <v>-2.7399829035857692E-2</v>
      </c>
      <c r="I30" s="33">
        <f t="shared" si="3"/>
        <v>-2.7399829035857692E-2</v>
      </c>
      <c r="O30">
        <f t="shared" ca="1" si="4"/>
        <v>-3.506532026302292E-2</v>
      </c>
      <c r="Q30" s="2">
        <f t="shared" si="5"/>
        <v>24009.879999999997</v>
      </c>
      <c r="R30" s="2"/>
      <c r="S30" s="2"/>
    </row>
    <row r="31" spans="1:22">
      <c r="A31" t="s">
        <v>30</v>
      </c>
      <c r="C31" s="9">
        <v>48016.582999999999</v>
      </c>
      <c r="D31" s="9"/>
      <c r="E31">
        <f t="shared" si="0"/>
        <v>16817.058432693764</v>
      </c>
      <c r="F31">
        <f t="shared" si="1"/>
        <v>16817</v>
      </c>
      <c r="I31" s="33">
        <f>U31</f>
        <v>3.4798825836332981E-2</v>
      </c>
      <c r="O31">
        <f t="shared" ca="1" si="4"/>
        <v>3.1442795134546467E-3</v>
      </c>
      <c r="Q31" s="2">
        <f t="shared" si="5"/>
        <v>32998.082999999999</v>
      </c>
      <c r="R31" s="2"/>
      <c r="S31" s="2"/>
      <c r="U31" s="37">
        <f>+C31-(C$7+F31*C$8)</f>
        <v>3.4798825836332981E-2</v>
      </c>
    </row>
    <row r="32" spans="1:22">
      <c r="A32" t="s">
        <v>31</v>
      </c>
      <c r="C32" s="9">
        <v>48810.415999999997</v>
      </c>
      <c r="D32" s="9">
        <v>0.01</v>
      </c>
      <c r="E32">
        <f t="shared" si="0"/>
        <v>18150.028711787185</v>
      </c>
      <c r="F32">
        <f t="shared" si="1"/>
        <v>18150</v>
      </c>
      <c r="G32">
        <f>+C32-(C$7+F32*C$8)</f>
        <v>1.709892899816623E-2</v>
      </c>
      <c r="I32" s="33">
        <f>G32</f>
        <v>1.709892899816623E-2</v>
      </c>
      <c r="O32">
        <f t="shared" ca="1" si="4"/>
        <v>6.5190283292270237E-3</v>
      </c>
      <c r="Q32" s="2">
        <f t="shared" si="5"/>
        <v>33791.915999999997</v>
      </c>
      <c r="R32" s="2"/>
      <c r="S32" s="2"/>
      <c r="U32" s="37"/>
    </row>
    <row r="33" spans="1:22">
      <c r="A33" t="s">
        <v>31</v>
      </c>
      <c r="C33" s="9">
        <v>48838.455000000002</v>
      </c>
      <c r="D33" s="9">
        <v>1E-3</v>
      </c>
      <c r="E33">
        <f t="shared" si="0"/>
        <v>18197.110596334067</v>
      </c>
      <c r="F33">
        <f t="shared" si="1"/>
        <v>18197</v>
      </c>
      <c r="I33" s="33"/>
      <c r="O33">
        <f t="shared" ca="1" si="4"/>
        <v>6.6380179723937865E-3</v>
      </c>
      <c r="Q33" s="2">
        <f t="shared" si="5"/>
        <v>33819.955000000002</v>
      </c>
      <c r="R33" s="2"/>
      <c r="S33" s="2"/>
      <c r="U33" s="37">
        <f>+C33-(C$7+F33*C$8)</f>
        <v>6.5864198957569897E-2</v>
      </c>
    </row>
    <row r="34" spans="1:22">
      <c r="A34" t="s">
        <v>32</v>
      </c>
      <c r="C34" s="9">
        <v>49608.45</v>
      </c>
      <c r="D34" s="9">
        <v>8.0000000000000002E-3</v>
      </c>
      <c r="E34">
        <f t="shared" si="0"/>
        <v>19490.053129650943</v>
      </c>
      <c r="F34">
        <f t="shared" si="1"/>
        <v>19490</v>
      </c>
      <c r="I34" s="33">
        <f>U34</f>
        <v>3.1640668108593673E-2</v>
      </c>
      <c r="O34">
        <f t="shared" ca="1" si="4"/>
        <v>9.9114990067476413E-3</v>
      </c>
      <c r="Q34" s="2">
        <f t="shared" si="5"/>
        <v>34589.949999999997</v>
      </c>
      <c r="R34" s="2"/>
      <c r="S34" s="2"/>
      <c r="U34" s="37">
        <f>+C34-(C$7+F34*C$8)</f>
        <v>3.1640668108593673E-2</v>
      </c>
    </row>
    <row r="35" spans="1:22">
      <c r="A35" t="s">
        <v>32</v>
      </c>
      <c r="C35" s="9">
        <v>49631.377999999997</v>
      </c>
      <c r="D35" s="9">
        <v>4.0000000000000001E-3</v>
      </c>
      <c r="E35">
        <f t="shared" si="0"/>
        <v>19528.552842511272</v>
      </c>
      <c r="F35">
        <f t="shared" si="1"/>
        <v>19528.5</v>
      </c>
      <c r="I35" s="33">
        <f>U35</f>
        <v>3.1469665831536986E-2</v>
      </c>
      <c r="O35">
        <f t="shared" ca="1" si="4"/>
        <v>1.0008969246362971E-2</v>
      </c>
      <c r="Q35" s="2">
        <f t="shared" si="5"/>
        <v>34612.877999999997</v>
      </c>
      <c r="R35" s="2"/>
      <c r="S35" s="2"/>
      <c r="U35" s="37">
        <f>+C35-(C$7+F35*C$8)</f>
        <v>3.1469665831536986E-2</v>
      </c>
    </row>
    <row r="36" spans="1:22">
      <c r="A36" t="s">
        <v>32</v>
      </c>
      <c r="C36" s="9">
        <v>49636.436000000002</v>
      </c>
      <c r="D36" s="9">
        <v>6.0000000000000001E-3</v>
      </c>
      <c r="E36">
        <f t="shared" si="0"/>
        <v>19537.046018874134</v>
      </c>
      <c r="F36">
        <f t="shared" si="1"/>
        <v>19537</v>
      </c>
      <c r="I36" s="33">
        <f>U36</f>
        <v>2.7405938060837798E-2</v>
      </c>
      <c r="O36">
        <f t="shared" ca="1" si="4"/>
        <v>1.0030488649914404E-2</v>
      </c>
      <c r="Q36" s="2">
        <f t="shared" si="5"/>
        <v>34617.936000000002</v>
      </c>
      <c r="R36" s="2"/>
      <c r="S36" s="2"/>
      <c r="U36" s="37">
        <f>+C36-(C$7+F36*C$8)</f>
        <v>2.7405938060837798E-2</v>
      </c>
    </row>
    <row r="37" spans="1:22">
      <c r="A37" t="s">
        <v>32</v>
      </c>
      <c r="C37" s="9">
        <v>49654.313000000002</v>
      </c>
      <c r="D37" s="9">
        <v>7.0000000000000001E-3</v>
      </c>
      <c r="E37">
        <f t="shared" si="0"/>
        <v>19567.064309470967</v>
      </c>
      <c r="F37">
        <f t="shared" si="1"/>
        <v>19567</v>
      </c>
      <c r="I37" s="33">
        <f>U37</f>
        <v>3.8298663566820323E-2</v>
      </c>
      <c r="O37">
        <f t="shared" ca="1" si="4"/>
        <v>1.0106439485978301E-2</v>
      </c>
      <c r="Q37" s="2">
        <f t="shared" si="5"/>
        <v>34635.813000000002</v>
      </c>
      <c r="R37" s="2"/>
      <c r="S37" s="2"/>
      <c r="U37" s="37">
        <f>+C37-(C$7+F37*C$8)</f>
        <v>3.8298663566820323E-2</v>
      </c>
    </row>
    <row r="38" spans="1:22">
      <c r="A38" s="6" t="s">
        <v>34</v>
      </c>
      <c r="C38" s="10">
        <v>51766.964999999997</v>
      </c>
      <c r="D38" s="9"/>
      <c r="E38">
        <f t="shared" si="0"/>
        <v>23114.538811119641</v>
      </c>
      <c r="F38">
        <f t="shared" si="1"/>
        <v>23114.5</v>
      </c>
      <c r="G38">
        <f t="shared" ref="G38:G50" si="6">+C38-(C$7+F38*C$8)</f>
        <v>2.3113454226404428E-2</v>
      </c>
      <c r="K38">
        <f>+G38</f>
        <v>2.3113454226404428E-2</v>
      </c>
      <c r="O38">
        <f t="shared" ca="1" si="4"/>
        <v>1.9087625850533821E-2</v>
      </c>
      <c r="Q38" s="2">
        <f t="shared" si="5"/>
        <v>36748.464999999997</v>
      </c>
      <c r="R38" s="2"/>
      <c r="S38" s="2"/>
      <c r="U38" s="37"/>
      <c r="V38" s="55"/>
    </row>
    <row r="39" spans="1:22">
      <c r="A39" t="s">
        <v>33</v>
      </c>
      <c r="C39" s="9">
        <v>52551.586600000002</v>
      </c>
      <c r="D39" s="9">
        <v>2.0000000000000001E-4</v>
      </c>
      <c r="E39">
        <f t="shared" si="0"/>
        <v>24432.041702955499</v>
      </c>
      <c r="F39">
        <f t="shared" si="1"/>
        <v>24432</v>
      </c>
      <c r="G39">
        <f t="shared" si="6"/>
        <v>2.4835649222950451E-2</v>
      </c>
      <c r="K39">
        <f>+G39</f>
        <v>2.4835649222950451E-2</v>
      </c>
      <c r="O39">
        <f t="shared" ca="1" si="4"/>
        <v>2.2423133401006518E-2</v>
      </c>
      <c r="Q39" s="2">
        <f t="shared" si="5"/>
        <v>37533.086600000002</v>
      </c>
      <c r="R39" s="2"/>
      <c r="S39" s="2"/>
      <c r="U39" s="37"/>
    </row>
    <row r="40" spans="1:22">
      <c r="A40" s="6" t="s">
        <v>35</v>
      </c>
      <c r="C40" s="9">
        <v>53681.619299999998</v>
      </c>
      <c r="D40" s="9">
        <v>2.0000000000000001E-4</v>
      </c>
      <c r="E40">
        <f t="shared" si="0"/>
        <v>26329.544078774707</v>
      </c>
      <c r="F40">
        <f t="shared" si="1"/>
        <v>26329.5</v>
      </c>
      <c r="G40">
        <f t="shared" si="6"/>
        <v>2.6250537244777661E-2</v>
      </c>
      <c r="K40">
        <f>+G40</f>
        <v>2.6250537244777661E-2</v>
      </c>
      <c r="O40">
        <f t="shared" ca="1" si="4"/>
        <v>2.7227023782047846E-2</v>
      </c>
      <c r="Q40" s="2">
        <f t="shared" si="5"/>
        <v>38663.119299999998</v>
      </c>
      <c r="R40" s="2"/>
      <c r="S40" s="2"/>
    </row>
    <row r="41" spans="1:22">
      <c r="A41" s="51" t="s">
        <v>134</v>
      </c>
      <c r="B41" s="53" t="s">
        <v>47</v>
      </c>
      <c r="C41" s="52">
        <v>54801.233699999997</v>
      </c>
      <c r="D41" s="52" t="s">
        <v>53</v>
      </c>
      <c r="E41">
        <f t="shared" si="0"/>
        <v>28209.552492691757</v>
      </c>
      <c r="F41">
        <f t="shared" si="1"/>
        <v>28209.5</v>
      </c>
      <c r="G41">
        <f t="shared" si="6"/>
        <v>3.1261335403542034E-2</v>
      </c>
      <c r="K41" s="33">
        <f>G41</f>
        <v>3.1261335403542034E-2</v>
      </c>
      <c r="O41">
        <f t="shared" ca="1" si="4"/>
        <v>3.1986609508718566E-2</v>
      </c>
      <c r="Q41" s="2">
        <f t="shared" si="5"/>
        <v>39782.733699999997</v>
      </c>
      <c r="R41" s="2"/>
      <c r="S41" s="2"/>
    </row>
    <row r="42" spans="1:22">
      <c r="A42" s="51" t="s">
        <v>140</v>
      </c>
      <c r="B42" s="53" t="s">
        <v>50</v>
      </c>
      <c r="C42" s="52">
        <v>55044.511200000001</v>
      </c>
      <c r="D42" s="52" t="s">
        <v>53</v>
      </c>
      <c r="E42">
        <f t="shared" si="0"/>
        <v>28618.053622113381</v>
      </c>
      <c r="F42">
        <f t="shared" si="1"/>
        <v>28618</v>
      </c>
      <c r="G42">
        <f t="shared" si="6"/>
        <v>3.1933947662764695E-2</v>
      </c>
      <c r="K42" s="33">
        <f>G42</f>
        <v>3.1933947662764695E-2</v>
      </c>
      <c r="O42">
        <f t="shared" ca="1" si="4"/>
        <v>3.3020806726455257E-2</v>
      </c>
      <c r="Q42" s="2">
        <f t="shared" si="5"/>
        <v>40026.011200000001</v>
      </c>
      <c r="R42" s="2"/>
      <c r="S42" s="2"/>
    </row>
    <row r="43" spans="1:22">
      <c r="A43" s="51" t="s">
        <v>140</v>
      </c>
      <c r="B43" s="53" t="s">
        <v>50</v>
      </c>
      <c r="C43" s="52">
        <v>55124.313300000002</v>
      </c>
      <c r="D43" s="52" t="s">
        <v>53</v>
      </c>
      <c r="E43">
        <f t="shared" si="0"/>
        <v>28752.053880995594</v>
      </c>
      <c r="F43">
        <f t="shared" si="1"/>
        <v>28752</v>
      </c>
      <c r="G43">
        <f t="shared" si="6"/>
        <v>3.2088121581182349E-2</v>
      </c>
      <c r="K43" s="33">
        <f>G43</f>
        <v>3.2088121581182349E-2</v>
      </c>
      <c r="O43">
        <f t="shared" ca="1" si="4"/>
        <v>3.3360053794207326E-2</v>
      </c>
      <c r="Q43" s="2">
        <f t="shared" si="5"/>
        <v>40105.813300000002</v>
      </c>
      <c r="R43" s="2"/>
      <c r="S43" s="2"/>
    </row>
    <row r="44" spans="1:22">
      <c r="A44" s="51" t="s">
        <v>140</v>
      </c>
      <c r="B44" s="53" t="s">
        <v>50</v>
      </c>
      <c r="C44" s="52">
        <v>55377.417600000001</v>
      </c>
      <c r="D44" s="52" t="s">
        <v>53</v>
      </c>
      <c r="E44">
        <f t="shared" si="0"/>
        <v>29177.055750923832</v>
      </c>
      <c r="F44">
        <f t="shared" si="1"/>
        <v>29177</v>
      </c>
      <c r="G44">
        <f t="shared" si="6"/>
        <v>3.3201732861925848E-2</v>
      </c>
      <c r="K44" s="33">
        <f>G44</f>
        <v>3.3201732861925848E-2</v>
      </c>
      <c r="O44">
        <f t="shared" ca="1" si="4"/>
        <v>3.4436023971779153E-2</v>
      </c>
      <c r="Q44" s="2">
        <f t="shared" si="5"/>
        <v>40358.917600000001</v>
      </c>
      <c r="R44" s="2"/>
      <c r="S44" s="2"/>
    </row>
    <row r="45" spans="1:22">
      <c r="A45" s="51" t="s">
        <v>155</v>
      </c>
      <c r="B45" s="53" t="s">
        <v>50</v>
      </c>
      <c r="C45" s="52">
        <v>55686.502999999997</v>
      </c>
      <c r="D45" s="52" t="s">
        <v>53</v>
      </c>
      <c r="E45">
        <f t="shared" si="0"/>
        <v>29696.0586796276</v>
      </c>
      <c r="F45">
        <f t="shared" si="1"/>
        <v>29696</v>
      </c>
      <c r="G45">
        <f t="shared" si="6"/>
        <v>3.4945884050102904E-2</v>
      </c>
      <c r="K45" s="33">
        <f>G45</f>
        <v>3.4945884050102904E-2</v>
      </c>
      <c r="O45">
        <f t="shared" ca="1" si="4"/>
        <v>3.5749973435684534E-2</v>
      </c>
      <c r="Q45" s="2">
        <f t="shared" si="5"/>
        <v>40668.002999999997</v>
      </c>
      <c r="R45" s="2"/>
      <c r="S45" s="2"/>
    </row>
    <row r="46" spans="1:22">
      <c r="A46" s="30" t="s">
        <v>46</v>
      </c>
      <c r="B46" s="31" t="s">
        <v>47</v>
      </c>
      <c r="C46" s="32">
        <v>55830.324000000001</v>
      </c>
      <c r="D46" s="32">
        <v>2.9999999999999997E-4</v>
      </c>
      <c r="E46" s="33">
        <f t="shared" si="0"/>
        <v>29937.556725828123</v>
      </c>
      <c r="F46">
        <f t="shared" si="1"/>
        <v>29937.5</v>
      </c>
      <c r="G46">
        <f t="shared" si="6"/>
        <v>3.3782324353524018E-2</v>
      </c>
      <c r="K46">
        <f>+G46</f>
        <v>3.3782324353524018E-2</v>
      </c>
      <c r="O46">
        <f t="shared" ca="1" si="4"/>
        <v>3.6361377665998881E-2</v>
      </c>
      <c r="Q46" s="2">
        <f t="shared" si="5"/>
        <v>40811.824000000001</v>
      </c>
      <c r="R46" s="2"/>
      <c r="S46" s="2"/>
    </row>
    <row r="47" spans="1:22">
      <c r="A47" s="30" t="s">
        <v>46</v>
      </c>
      <c r="B47" s="31" t="s">
        <v>47</v>
      </c>
      <c r="C47" s="32">
        <v>55830.324370000002</v>
      </c>
      <c r="D47" s="32">
        <v>2.0000000000000001E-4</v>
      </c>
      <c r="E47" s="33">
        <f t="shared" si="0"/>
        <v>29937.557347116235</v>
      </c>
      <c r="F47">
        <f t="shared" si="1"/>
        <v>29937.5</v>
      </c>
      <c r="G47">
        <f t="shared" si="6"/>
        <v>3.4152324355090968E-2</v>
      </c>
      <c r="K47">
        <f>+G47</f>
        <v>3.4152324355090968E-2</v>
      </c>
      <c r="O47">
        <f t="shared" ca="1" si="4"/>
        <v>3.6361377665998881E-2</v>
      </c>
      <c r="Q47" s="2">
        <f t="shared" si="5"/>
        <v>40811.824370000002</v>
      </c>
      <c r="R47" s="2"/>
      <c r="S47" s="2"/>
    </row>
    <row r="48" spans="1:22">
      <c r="A48" s="51" t="s">
        <v>170</v>
      </c>
      <c r="B48" s="53" t="s">
        <v>50</v>
      </c>
      <c r="C48" s="52">
        <v>55833.301800000001</v>
      </c>
      <c r="D48" s="52" t="s">
        <v>53</v>
      </c>
      <c r="E48">
        <f t="shared" si="0"/>
        <v>29942.556919693943</v>
      </c>
      <c r="F48">
        <f t="shared" si="1"/>
        <v>29942.5</v>
      </c>
      <c r="G48">
        <f t="shared" si="6"/>
        <v>3.3897778601385653E-2</v>
      </c>
      <c r="K48" s="33">
        <f>G48</f>
        <v>3.3897778601385653E-2</v>
      </c>
      <c r="O48">
        <f t="shared" ca="1" si="4"/>
        <v>3.6374036138676194E-2</v>
      </c>
      <c r="Q48" s="2">
        <f t="shared" si="5"/>
        <v>40814.801800000001</v>
      </c>
      <c r="R48" s="2"/>
      <c r="S48" s="2"/>
    </row>
    <row r="49" spans="1:19">
      <c r="A49" s="34" t="s">
        <v>49</v>
      </c>
      <c r="B49" s="35" t="s">
        <v>50</v>
      </c>
      <c r="C49" s="32">
        <v>56465.468099999998</v>
      </c>
      <c r="D49" s="36">
        <v>2.0000000000000001E-4</v>
      </c>
      <c r="E49" s="33">
        <f t="shared" si="0"/>
        <v>31004.063419605704</v>
      </c>
      <c r="F49">
        <f t="shared" si="1"/>
        <v>31004</v>
      </c>
      <c r="G49">
        <f t="shared" si="6"/>
        <v>3.7768715963466093E-2</v>
      </c>
      <c r="K49">
        <f>+G49</f>
        <v>3.7768715963466093E-2</v>
      </c>
      <c r="O49">
        <f t="shared" ca="1" si="4"/>
        <v>3.9061429888070334E-2</v>
      </c>
      <c r="Q49" s="2">
        <f t="shared" si="5"/>
        <v>41446.968099999998</v>
      </c>
      <c r="R49" s="2"/>
      <c r="S49" s="2"/>
    </row>
    <row r="50" spans="1:19">
      <c r="A50" s="32" t="s">
        <v>51</v>
      </c>
      <c r="B50" s="31" t="s">
        <v>47</v>
      </c>
      <c r="C50" s="56">
        <v>56872.520450000004</v>
      </c>
      <c r="D50" s="32">
        <v>6.9999999999999999E-4</v>
      </c>
      <c r="E50" s="33">
        <f t="shared" si="0"/>
        <v>31687.568243145593</v>
      </c>
      <c r="F50">
        <f t="shared" si="1"/>
        <v>31687.5</v>
      </c>
      <c r="G50">
        <f t="shared" si="6"/>
        <v>4.064131199993426E-2</v>
      </c>
      <c r="K50">
        <f>+G50</f>
        <v>4.064131199993426E-2</v>
      </c>
      <c r="O50">
        <f t="shared" ca="1" si="4"/>
        <v>4.0791843103059389E-2</v>
      </c>
      <c r="Q50" s="2">
        <f t="shared" si="5"/>
        <v>41854.020450000004</v>
      </c>
      <c r="R50" s="2"/>
      <c r="S50" s="2"/>
    </row>
    <row r="51" spans="1:19">
      <c r="A51" s="57" t="s">
        <v>0</v>
      </c>
      <c r="B51" s="58" t="s">
        <v>47</v>
      </c>
      <c r="C51" s="57">
        <v>57576.151299999998</v>
      </c>
      <c r="D51" s="57" t="s">
        <v>176</v>
      </c>
      <c r="E51" s="33">
        <f>+(C51-C$7)/C$8</f>
        <v>32869.07494607081</v>
      </c>
      <c r="F51">
        <f t="shared" si="1"/>
        <v>32869</v>
      </c>
      <c r="G51">
        <f>+C51-(C$7+F51*C$8)</f>
        <v>4.4633151366724633E-2</v>
      </c>
      <c r="K51">
        <f>+G51</f>
        <v>4.4633151366724633E-2</v>
      </c>
      <c r="O51">
        <f ca="1">+C$11+C$12*$F51</f>
        <v>4.3783040196709103E-2</v>
      </c>
      <c r="Q51" s="2">
        <f>+C51-15018.5</f>
        <v>42557.651299999998</v>
      </c>
    </row>
    <row r="52" spans="1:19">
      <c r="A52" s="59" t="s">
        <v>177</v>
      </c>
      <c r="B52" s="60" t="s">
        <v>47</v>
      </c>
      <c r="C52" s="61">
        <v>57981.413559999783</v>
      </c>
      <c r="D52" s="61">
        <v>2.9999999999999997E-4</v>
      </c>
      <c r="E52" s="33">
        <f>+(C52-C$7)/C$8</f>
        <v>33549.573927365294</v>
      </c>
      <c r="F52">
        <f t="shared" si="1"/>
        <v>33549.5</v>
      </c>
      <c r="G52">
        <f>+C52-(C$7+F52*C$8)</f>
        <v>4.4026474628481083E-2</v>
      </c>
      <c r="K52">
        <f>+G52</f>
        <v>4.4026474628481083E-2</v>
      </c>
      <c r="O52">
        <f ca="1">+C$11+C$12*$F52</f>
        <v>4.5505858328091772E-2</v>
      </c>
      <c r="Q52" s="2">
        <f>+C52-15018.5</f>
        <v>42962.913559999783</v>
      </c>
    </row>
    <row r="53" spans="1:19">
      <c r="A53" s="62" t="s">
        <v>178</v>
      </c>
      <c r="B53" s="63" t="s">
        <v>50</v>
      </c>
      <c r="C53" s="64">
        <v>59354.430999999866</v>
      </c>
      <c r="D53" s="65">
        <v>1E-3</v>
      </c>
      <c r="E53" s="33">
        <f t="shared" ref="E53:E54" si="7">+(C53-C$7)/C$8</f>
        <v>35855.08584258808</v>
      </c>
      <c r="F53">
        <f t="shared" ref="F53:F54" si="8">ROUND(2*E53,0)/2</f>
        <v>35855</v>
      </c>
      <c r="G53">
        <f t="shared" ref="G53:G54" si="9">+C53-(C$7+F53*C$8)</f>
        <v>5.1122429576935247E-2</v>
      </c>
      <c r="K53">
        <f t="shared" ref="K53:K54" si="10">+G53</f>
        <v>5.1122429576935247E-2</v>
      </c>
      <c r="O53">
        <f t="shared" ref="O53:O54" ca="1" si="11">+C$11+C$12*$F53</f>
        <v>5.1342680079602063E-2</v>
      </c>
      <c r="Q53" s="2">
        <f t="shared" ref="Q53:Q54" si="12">+C53-15018.5</f>
        <v>44335.930999999866</v>
      </c>
    </row>
    <row r="54" spans="1:19">
      <c r="A54" s="62" t="s">
        <v>179</v>
      </c>
      <c r="B54" s="63" t="s">
        <v>50</v>
      </c>
      <c r="C54" s="64">
        <v>59367.536500000002</v>
      </c>
      <c r="D54" s="65">
        <v>1.6999999999999999E-3</v>
      </c>
      <c r="E54" s="33">
        <f t="shared" si="7"/>
        <v>35877.092035317335</v>
      </c>
      <c r="F54">
        <f t="shared" si="8"/>
        <v>35877</v>
      </c>
      <c r="G54">
        <f t="shared" si="9"/>
        <v>5.4810428417113144E-2</v>
      </c>
      <c r="K54">
        <f t="shared" si="10"/>
        <v>5.4810428417113144E-2</v>
      </c>
      <c r="O54">
        <f t="shared" ca="1" si="11"/>
        <v>5.1398377359382255E-2</v>
      </c>
      <c r="Q54" s="2">
        <f t="shared" si="12"/>
        <v>44349.036500000002</v>
      </c>
    </row>
    <row r="55" spans="1:19">
      <c r="B55" s="15"/>
      <c r="C55" s="9"/>
      <c r="D55" s="9"/>
    </row>
    <row r="56" spans="1:19">
      <c r="B56" s="15"/>
      <c r="C56" s="9"/>
      <c r="D56" s="9"/>
    </row>
    <row r="57" spans="1:19">
      <c r="B57" s="15"/>
      <c r="C57" s="9"/>
      <c r="D57" s="9"/>
    </row>
    <row r="58" spans="1:19">
      <c r="B58" s="15"/>
      <c r="C58" s="9"/>
      <c r="D58" s="9"/>
    </row>
    <row r="59" spans="1:19">
      <c r="B59" s="15"/>
      <c r="C59" s="9"/>
      <c r="D59" s="9"/>
    </row>
    <row r="60" spans="1:19">
      <c r="B60" s="15"/>
      <c r="C60" s="9"/>
      <c r="D60" s="9"/>
    </row>
    <row r="61" spans="1:19">
      <c r="B61" s="15"/>
      <c r="C61" s="9"/>
      <c r="D61" s="9"/>
    </row>
    <row r="62" spans="1:19">
      <c r="B62" s="15"/>
      <c r="C62" s="9"/>
      <c r="D62" s="9"/>
    </row>
    <row r="63" spans="1:19">
      <c r="C63" s="9"/>
      <c r="D63" s="9"/>
    </row>
    <row r="64" spans="1:19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</sheetData>
  <protectedRanges>
    <protectedRange sqref="A52:D52" name="Range1"/>
  </protectedRanges>
  <phoneticPr fontId="7" type="noConversion"/>
  <hyperlinks>
    <hyperlink ref="H64385" r:id="rId1" display="http://vsolj.cetus-net.org/bulletin.html" xr:uid="{00000000-0004-0000-0000-000000000000}"/>
    <hyperlink ref="H64378" r:id="rId2" display="https://www.aavso.org/ejaavso" xr:uid="{00000000-0004-0000-0000-000001000000}"/>
    <hyperlink ref="I64385" r:id="rId3" display="http://vsolj.cetus-net.org/bulletin.html" xr:uid="{00000000-0004-0000-0000-000002000000}"/>
    <hyperlink ref="AQ58036" r:id="rId4" display="http://cdsbib.u-strasbg.fr/cgi-bin/cdsbib?1990RMxAA..21..381G" xr:uid="{00000000-0004-0000-0000-000003000000}"/>
    <hyperlink ref="H64382" r:id="rId5" display="https://www.aavso.org/ejaavso" xr:uid="{00000000-0004-0000-0000-000004000000}"/>
    <hyperlink ref="AP5400" r:id="rId6" display="http://cdsbib.u-strasbg.fr/cgi-bin/cdsbib?1990RMxAA..21..381G" xr:uid="{00000000-0004-0000-0000-000005000000}"/>
    <hyperlink ref="AP5403" r:id="rId7" display="http://cdsbib.u-strasbg.fr/cgi-bin/cdsbib?1990RMxAA..21..381G" xr:uid="{00000000-0004-0000-0000-000006000000}"/>
    <hyperlink ref="AP5401" r:id="rId8" display="http://cdsbib.u-strasbg.fr/cgi-bin/cdsbib?1990RMxAA..21..381G" xr:uid="{00000000-0004-0000-0000-000007000000}"/>
    <hyperlink ref="AP5385" r:id="rId9" display="http://cdsbib.u-strasbg.fr/cgi-bin/cdsbib?1990RMxAA..21..381G" xr:uid="{00000000-0004-0000-0000-000008000000}"/>
    <hyperlink ref="AQ5614" r:id="rId10" display="http://cdsbib.u-strasbg.fr/cgi-bin/cdsbib?1990RMxAA..21..381G" xr:uid="{00000000-0004-0000-0000-000009000000}"/>
    <hyperlink ref="AQ5618" r:id="rId11" display="http://cdsbib.u-strasbg.fr/cgi-bin/cdsbib?1990RMxAA..21..381G" xr:uid="{00000000-0004-0000-0000-00000A000000}"/>
    <hyperlink ref="AQ65298" r:id="rId12" display="http://cdsbib.u-strasbg.fr/cgi-bin/cdsbib?1990RMxAA..21..381G" xr:uid="{00000000-0004-0000-0000-00000B000000}"/>
    <hyperlink ref="I2506" r:id="rId13" display="http://vsolj.cetus-net.org/bulletin.html" xr:uid="{00000000-0004-0000-0000-00000C000000}"/>
    <hyperlink ref="H2506" r:id="rId14" display="http://vsolj.cetus-net.org/bulletin.html" xr:uid="{00000000-0004-0000-0000-00000D000000}"/>
    <hyperlink ref="AQ423" r:id="rId15" display="http://cdsbib.u-strasbg.fr/cgi-bin/cdsbib?1990RMxAA..21..381G" xr:uid="{00000000-0004-0000-0000-00000E000000}"/>
    <hyperlink ref="AQ422" r:id="rId16" display="http://cdsbib.u-strasbg.fr/cgi-bin/cdsbib?1990RMxAA..21..381G" xr:uid="{00000000-0004-0000-0000-00000F000000}"/>
    <hyperlink ref="AP3676" r:id="rId17" display="http://cdsbib.u-strasbg.fr/cgi-bin/cdsbib?1990RMxAA..21..381G" xr:uid="{00000000-0004-0000-0000-000010000000}"/>
    <hyperlink ref="AP3694" r:id="rId18" display="http://cdsbib.u-strasbg.fr/cgi-bin/cdsbib?1990RMxAA..21..381G" xr:uid="{00000000-0004-0000-0000-000011000000}"/>
    <hyperlink ref="AP3695" r:id="rId19" display="http://cdsbib.u-strasbg.fr/cgi-bin/cdsbib?1990RMxAA..21..381G" xr:uid="{00000000-0004-0000-0000-000012000000}"/>
    <hyperlink ref="AP36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workbookViewId="0">
      <selection activeCell="A23" sqref="A23:D37"/>
    </sheetView>
  </sheetViews>
  <sheetFormatPr defaultRowHeight="12.75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56</v>
      </c>
      <c r="I1" s="39" t="s">
        <v>57</v>
      </c>
      <c r="J1" s="40" t="s">
        <v>55</v>
      </c>
    </row>
    <row r="2" spans="1:16">
      <c r="I2" s="41" t="s">
        <v>58</v>
      </c>
      <c r="J2" s="42" t="s">
        <v>54</v>
      </c>
    </row>
    <row r="3" spans="1:16">
      <c r="A3" s="43" t="s">
        <v>59</v>
      </c>
      <c r="I3" s="41" t="s">
        <v>60</v>
      </c>
      <c r="J3" s="42" t="s">
        <v>52</v>
      </c>
    </row>
    <row r="4" spans="1:16">
      <c r="I4" s="41" t="s">
        <v>61</v>
      </c>
      <c r="J4" s="42" t="s">
        <v>52</v>
      </c>
    </row>
    <row r="5" spans="1:16" ht="13.5" thickBot="1">
      <c r="I5" s="44" t="s">
        <v>62</v>
      </c>
      <c r="J5" s="45" t="s">
        <v>53</v>
      </c>
    </row>
    <row r="10" spans="1:16" ht="13.5" thickBot="1"/>
    <row r="11" spans="1:16" ht="12.75" customHeight="1" thickBot="1">
      <c r="A11" s="9" t="str">
        <f t="shared" ref="A11:A37" si="0">P11</f>
        <v> BBS 95 </v>
      </c>
      <c r="B11" s="15" t="str">
        <f t="shared" ref="B11:B37" si="1">IF(H11=INT(H11),"I","II")</f>
        <v>I</v>
      </c>
      <c r="C11" s="9">
        <f t="shared" ref="C11:C37" si="2">1*G11</f>
        <v>48016.582999999999</v>
      </c>
      <c r="D11" s="12" t="str">
        <f t="shared" ref="D11:D37" si="3">VLOOKUP(F11,I$1:J$5,2,FALSE)</f>
        <v>vis</v>
      </c>
      <c r="E11" s="46">
        <f>VLOOKUP(C11,Active!C$21:E$973,3,FALSE)</f>
        <v>16817.058432693764</v>
      </c>
      <c r="F11" s="15" t="s">
        <v>62</v>
      </c>
      <c r="G11" s="12" t="str">
        <f t="shared" ref="G11:G37" si="4">MID(I11,3,LEN(I11)-3)</f>
        <v>48016.583</v>
      </c>
      <c r="H11" s="9">
        <f t="shared" ref="H11:H37" si="5">1*K11</f>
        <v>11795</v>
      </c>
      <c r="I11" s="47" t="s">
        <v>90</v>
      </c>
      <c r="J11" s="48" t="s">
        <v>91</v>
      </c>
      <c r="K11" s="47">
        <v>11795</v>
      </c>
      <c r="L11" s="47" t="s">
        <v>92</v>
      </c>
      <c r="M11" s="48" t="s">
        <v>93</v>
      </c>
      <c r="N11" s="48"/>
      <c r="O11" s="49" t="s">
        <v>94</v>
      </c>
      <c r="P11" s="49" t="s">
        <v>95</v>
      </c>
    </row>
    <row r="12" spans="1:16" ht="12.75" customHeight="1" thickBot="1">
      <c r="A12" s="9" t="str">
        <f t="shared" si="0"/>
        <v> BBS 102 </v>
      </c>
      <c r="B12" s="15" t="str">
        <f t="shared" si="1"/>
        <v>I</v>
      </c>
      <c r="C12" s="9">
        <f t="shared" si="2"/>
        <v>48810.415999999997</v>
      </c>
      <c r="D12" s="12" t="str">
        <f t="shared" si="3"/>
        <v>vis</v>
      </c>
      <c r="E12" s="46">
        <f>VLOOKUP(C12,Active!C$21:E$973,3,FALSE)</f>
        <v>18150.028711787185</v>
      </c>
      <c r="F12" s="15" t="s">
        <v>62</v>
      </c>
      <c r="G12" s="12" t="str">
        <f t="shared" si="4"/>
        <v>48810.416</v>
      </c>
      <c r="H12" s="9">
        <f t="shared" si="5"/>
        <v>12730</v>
      </c>
      <c r="I12" s="47" t="s">
        <v>96</v>
      </c>
      <c r="J12" s="48" t="s">
        <v>97</v>
      </c>
      <c r="K12" s="47">
        <v>12730</v>
      </c>
      <c r="L12" s="47" t="s">
        <v>98</v>
      </c>
      <c r="M12" s="48" t="s">
        <v>93</v>
      </c>
      <c r="N12" s="48"/>
      <c r="O12" s="49" t="s">
        <v>94</v>
      </c>
      <c r="P12" s="49" t="s">
        <v>99</v>
      </c>
    </row>
    <row r="13" spans="1:16" ht="12.75" customHeight="1" thickBot="1">
      <c r="A13" s="9" t="str">
        <f t="shared" si="0"/>
        <v> BBS 102 </v>
      </c>
      <c r="B13" s="15" t="str">
        <f t="shared" si="1"/>
        <v>I</v>
      </c>
      <c r="C13" s="9">
        <f t="shared" si="2"/>
        <v>48838.455000000002</v>
      </c>
      <c r="D13" s="12" t="str">
        <f t="shared" si="3"/>
        <v>vis</v>
      </c>
      <c r="E13" s="46">
        <f>VLOOKUP(C13,Active!C$21:E$973,3,FALSE)</f>
        <v>18197.110596334067</v>
      </c>
      <c r="F13" s="15" t="s">
        <v>62</v>
      </c>
      <c r="G13" s="12" t="str">
        <f t="shared" si="4"/>
        <v>48838.455</v>
      </c>
      <c r="H13" s="9">
        <f t="shared" si="5"/>
        <v>12763</v>
      </c>
      <c r="I13" s="47" t="s">
        <v>100</v>
      </c>
      <c r="J13" s="48" t="s">
        <v>101</v>
      </c>
      <c r="K13" s="47">
        <v>12763</v>
      </c>
      <c r="L13" s="47" t="s">
        <v>102</v>
      </c>
      <c r="M13" s="48" t="s">
        <v>93</v>
      </c>
      <c r="N13" s="48"/>
      <c r="O13" s="49" t="s">
        <v>94</v>
      </c>
      <c r="P13" s="49" t="s">
        <v>99</v>
      </c>
    </row>
    <row r="14" spans="1:16" ht="12.75" customHeight="1" thickBot="1">
      <c r="A14" s="9" t="str">
        <f t="shared" si="0"/>
        <v> BBS 108 </v>
      </c>
      <c r="B14" s="15" t="str">
        <f t="shared" si="1"/>
        <v>I</v>
      </c>
      <c r="C14" s="9">
        <f t="shared" si="2"/>
        <v>49608.45</v>
      </c>
      <c r="D14" s="12" t="str">
        <f t="shared" si="3"/>
        <v>vis</v>
      </c>
      <c r="E14" s="46">
        <f>VLOOKUP(C14,Active!C$21:E$973,3,FALSE)</f>
        <v>19490.053129650943</v>
      </c>
      <c r="F14" s="15" t="s">
        <v>62</v>
      </c>
      <c r="G14" s="12" t="str">
        <f t="shared" si="4"/>
        <v>49608.450</v>
      </c>
      <c r="H14" s="9">
        <f t="shared" si="5"/>
        <v>13670</v>
      </c>
      <c r="I14" s="47" t="s">
        <v>103</v>
      </c>
      <c r="J14" s="48" t="s">
        <v>104</v>
      </c>
      <c r="K14" s="47">
        <v>13670</v>
      </c>
      <c r="L14" s="47" t="s">
        <v>105</v>
      </c>
      <c r="M14" s="48" t="s">
        <v>93</v>
      </c>
      <c r="N14" s="48"/>
      <c r="O14" s="49" t="s">
        <v>94</v>
      </c>
      <c r="P14" s="49" t="s">
        <v>106</v>
      </c>
    </row>
    <row r="15" spans="1:16" ht="12.75" customHeight="1" thickBot="1">
      <c r="A15" s="9" t="str">
        <f t="shared" si="0"/>
        <v> BBS 108 </v>
      </c>
      <c r="B15" s="15" t="str">
        <f t="shared" si="1"/>
        <v>I</v>
      </c>
      <c r="C15" s="9">
        <f t="shared" si="2"/>
        <v>49631.377999999997</v>
      </c>
      <c r="D15" s="12" t="str">
        <f t="shared" si="3"/>
        <v>vis</v>
      </c>
      <c r="E15" s="46">
        <f>VLOOKUP(C15,Active!C$21:E$973,3,FALSE)</f>
        <v>19528.552842511272</v>
      </c>
      <c r="F15" s="15" t="s">
        <v>62</v>
      </c>
      <c r="G15" s="12" t="str">
        <f t="shared" si="4"/>
        <v>49631.378</v>
      </c>
      <c r="H15" s="9">
        <f t="shared" si="5"/>
        <v>13697</v>
      </c>
      <c r="I15" s="47" t="s">
        <v>107</v>
      </c>
      <c r="J15" s="48" t="s">
        <v>108</v>
      </c>
      <c r="K15" s="47">
        <v>13697</v>
      </c>
      <c r="L15" s="47" t="s">
        <v>109</v>
      </c>
      <c r="M15" s="48" t="s">
        <v>93</v>
      </c>
      <c r="N15" s="48"/>
      <c r="O15" s="49" t="s">
        <v>94</v>
      </c>
      <c r="P15" s="49" t="s">
        <v>106</v>
      </c>
    </row>
    <row r="16" spans="1:16" ht="12.75" customHeight="1" thickBot="1">
      <c r="A16" s="9" t="str">
        <f t="shared" si="0"/>
        <v> BBS 108 </v>
      </c>
      <c r="B16" s="15" t="str">
        <f t="shared" si="1"/>
        <v>I</v>
      </c>
      <c r="C16" s="9">
        <f t="shared" si="2"/>
        <v>49636.436000000002</v>
      </c>
      <c r="D16" s="12" t="str">
        <f t="shared" si="3"/>
        <v>vis</v>
      </c>
      <c r="E16" s="46">
        <f>VLOOKUP(C16,Active!C$21:E$973,3,FALSE)</f>
        <v>19537.046018874134</v>
      </c>
      <c r="F16" s="15" t="s">
        <v>62</v>
      </c>
      <c r="G16" s="12" t="str">
        <f t="shared" si="4"/>
        <v>49636.436</v>
      </c>
      <c r="H16" s="9">
        <f t="shared" si="5"/>
        <v>13703</v>
      </c>
      <c r="I16" s="47" t="s">
        <v>110</v>
      </c>
      <c r="J16" s="48" t="s">
        <v>111</v>
      </c>
      <c r="K16" s="47">
        <v>13703</v>
      </c>
      <c r="L16" s="47" t="s">
        <v>112</v>
      </c>
      <c r="M16" s="48" t="s">
        <v>93</v>
      </c>
      <c r="N16" s="48"/>
      <c r="O16" s="49" t="s">
        <v>94</v>
      </c>
      <c r="P16" s="49" t="s">
        <v>106</v>
      </c>
    </row>
    <row r="17" spans="1:16" ht="12.75" customHeight="1" thickBot="1">
      <c r="A17" s="9" t="str">
        <f t="shared" si="0"/>
        <v> BBS 108 </v>
      </c>
      <c r="B17" s="15" t="str">
        <f t="shared" si="1"/>
        <v>I</v>
      </c>
      <c r="C17" s="9">
        <f t="shared" si="2"/>
        <v>49654.313000000002</v>
      </c>
      <c r="D17" s="12" t="str">
        <f t="shared" si="3"/>
        <v>vis</v>
      </c>
      <c r="E17" s="46">
        <f>VLOOKUP(C17,Active!C$21:E$973,3,FALSE)</f>
        <v>19567.064309470967</v>
      </c>
      <c r="F17" s="15" t="s">
        <v>62</v>
      </c>
      <c r="G17" s="12" t="str">
        <f t="shared" si="4"/>
        <v>49654.313</v>
      </c>
      <c r="H17" s="9">
        <f t="shared" si="5"/>
        <v>13724</v>
      </c>
      <c r="I17" s="47" t="s">
        <v>113</v>
      </c>
      <c r="J17" s="48" t="s">
        <v>114</v>
      </c>
      <c r="K17" s="47">
        <v>13724</v>
      </c>
      <c r="L17" s="47" t="s">
        <v>115</v>
      </c>
      <c r="M17" s="48" t="s">
        <v>93</v>
      </c>
      <c r="N17" s="48"/>
      <c r="O17" s="49" t="s">
        <v>94</v>
      </c>
      <c r="P17" s="49" t="s">
        <v>106</v>
      </c>
    </row>
    <row r="18" spans="1:16" ht="12.75" customHeight="1" thickBot="1">
      <c r="A18" s="9" t="str">
        <f t="shared" si="0"/>
        <v>IBVS 5378 </v>
      </c>
      <c r="B18" s="15" t="str">
        <f t="shared" si="1"/>
        <v>I</v>
      </c>
      <c r="C18" s="9">
        <f t="shared" si="2"/>
        <v>52551.586600000002</v>
      </c>
      <c r="D18" s="12" t="str">
        <f t="shared" si="3"/>
        <v>vis</v>
      </c>
      <c r="E18" s="46">
        <f>VLOOKUP(C18,Active!C$21:E$973,3,FALSE)</f>
        <v>24432.041702955499</v>
      </c>
      <c r="F18" s="15" t="s">
        <v>62</v>
      </c>
      <c r="G18" s="12" t="str">
        <f t="shared" si="4"/>
        <v>52551.5866</v>
      </c>
      <c r="H18" s="9">
        <f t="shared" si="5"/>
        <v>17136</v>
      </c>
      <c r="I18" s="47" t="s">
        <v>116</v>
      </c>
      <c r="J18" s="48" t="s">
        <v>117</v>
      </c>
      <c r="K18" s="47">
        <v>17136</v>
      </c>
      <c r="L18" s="47" t="s">
        <v>118</v>
      </c>
      <c r="M18" s="48" t="s">
        <v>119</v>
      </c>
      <c r="N18" s="48" t="s">
        <v>120</v>
      </c>
      <c r="O18" s="49" t="s">
        <v>121</v>
      </c>
      <c r="P18" s="50" t="s">
        <v>122</v>
      </c>
    </row>
    <row r="19" spans="1:16" ht="12.75" customHeight="1" thickBot="1">
      <c r="A19" s="9" t="str">
        <f t="shared" si="0"/>
        <v>IBVS 5672 </v>
      </c>
      <c r="B19" s="15" t="str">
        <f t="shared" si="1"/>
        <v>I</v>
      </c>
      <c r="C19" s="9">
        <f t="shared" si="2"/>
        <v>53681.619299999998</v>
      </c>
      <c r="D19" s="12" t="str">
        <f t="shared" si="3"/>
        <v>vis</v>
      </c>
      <c r="E19" s="46">
        <f>VLOOKUP(C19,Active!C$21:E$973,3,FALSE)</f>
        <v>26329.544078774707</v>
      </c>
      <c r="F19" s="15" t="s">
        <v>62</v>
      </c>
      <c r="G19" s="12" t="str">
        <f t="shared" si="4"/>
        <v>53681.6193</v>
      </c>
      <c r="H19" s="9">
        <f t="shared" si="5"/>
        <v>18467</v>
      </c>
      <c r="I19" s="47" t="s">
        <v>123</v>
      </c>
      <c r="J19" s="48" t="s">
        <v>124</v>
      </c>
      <c r="K19" s="47">
        <v>18467</v>
      </c>
      <c r="L19" s="47" t="s">
        <v>125</v>
      </c>
      <c r="M19" s="48" t="s">
        <v>119</v>
      </c>
      <c r="N19" s="48" t="s">
        <v>120</v>
      </c>
      <c r="O19" s="49" t="s">
        <v>126</v>
      </c>
      <c r="P19" s="50" t="s">
        <v>127</v>
      </c>
    </row>
    <row r="20" spans="1:16" ht="12.75" customHeight="1" thickBot="1">
      <c r="A20" s="9" t="str">
        <f t="shared" si="0"/>
        <v>OEJV 0160 </v>
      </c>
      <c r="B20" s="15" t="str">
        <f t="shared" si="1"/>
        <v>II</v>
      </c>
      <c r="C20" s="9">
        <f t="shared" si="2"/>
        <v>55830.324000000001</v>
      </c>
      <c r="D20" s="12" t="str">
        <f t="shared" si="3"/>
        <v>vis</v>
      </c>
      <c r="E20" s="46">
        <f>VLOOKUP(C20,Active!C$21:E$973,3,FALSE)</f>
        <v>29937.556725828123</v>
      </c>
      <c r="F20" s="15" t="s">
        <v>62</v>
      </c>
      <c r="G20" s="12" t="str">
        <f t="shared" si="4"/>
        <v>55830.324</v>
      </c>
      <c r="H20" s="9">
        <f t="shared" si="5"/>
        <v>20997.5</v>
      </c>
      <c r="I20" s="47" t="s">
        <v>156</v>
      </c>
      <c r="J20" s="48" t="s">
        <v>157</v>
      </c>
      <c r="K20" s="47" t="s">
        <v>158</v>
      </c>
      <c r="L20" s="47" t="s">
        <v>159</v>
      </c>
      <c r="M20" s="48" t="s">
        <v>131</v>
      </c>
      <c r="N20" s="48" t="s">
        <v>62</v>
      </c>
      <c r="O20" s="49" t="s">
        <v>160</v>
      </c>
      <c r="P20" s="50" t="s">
        <v>161</v>
      </c>
    </row>
    <row r="21" spans="1:16" ht="12.75" customHeight="1" thickBot="1">
      <c r="A21" s="9" t="str">
        <f t="shared" si="0"/>
        <v>OEJV 0160 </v>
      </c>
      <c r="B21" s="15" t="str">
        <f t="shared" si="1"/>
        <v>II</v>
      </c>
      <c r="C21" s="9">
        <f t="shared" si="2"/>
        <v>55830.324370000002</v>
      </c>
      <c r="D21" s="12" t="str">
        <f t="shared" si="3"/>
        <v>vis</v>
      </c>
      <c r="E21" s="46">
        <f>VLOOKUP(C21,Active!C$21:E$973,3,FALSE)</f>
        <v>29937.557347116235</v>
      </c>
      <c r="F21" s="15" t="s">
        <v>62</v>
      </c>
      <c r="G21" s="12" t="str">
        <f t="shared" si="4"/>
        <v>55830.32437</v>
      </c>
      <c r="H21" s="9">
        <f t="shared" si="5"/>
        <v>20997.5</v>
      </c>
      <c r="I21" s="47" t="s">
        <v>162</v>
      </c>
      <c r="J21" s="48" t="s">
        <v>163</v>
      </c>
      <c r="K21" s="47" t="s">
        <v>158</v>
      </c>
      <c r="L21" s="47" t="s">
        <v>164</v>
      </c>
      <c r="M21" s="48" t="s">
        <v>131</v>
      </c>
      <c r="N21" s="48" t="s">
        <v>165</v>
      </c>
      <c r="O21" s="49" t="s">
        <v>160</v>
      </c>
      <c r="P21" s="50" t="s">
        <v>161</v>
      </c>
    </row>
    <row r="22" spans="1:16" ht="12.75" customHeight="1" thickBot="1">
      <c r="A22" s="9" t="str">
        <f t="shared" si="0"/>
        <v>BAVM 234 </v>
      </c>
      <c r="B22" s="15" t="str">
        <f t="shared" si="1"/>
        <v>II</v>
      </c>
      <c r="C22" s="9">
        <f t="shared" si="2"/>
        <v>56465.468099999998</v>
      </c>
      <c r="D22" s="12" t="str">
        <f t="shared" si="3"/>
        <v>vis</v>
      </c>
      <c r="E22" s="46">
        <f>VLOOKUP(C22,Active!C$21:E$973,3,FALSE)</f>
        <v>31004.063419605704</v>
      </c>
      <c r="F22" s="15" t="s">
        <v>62</v>
      </c>
      <c r="G22" s="12" t="str">
        <f t="shared" si="4"/>
        <v>56465.4681</v>
      </c>
      <c r="H22" s="9">
        <f t="shared" si="5"/>
        <v>21745.5</v>
      </c>
      <c r="I22" s="47" t="s">
        <v>171</v>
      </c>
      <c r="J22" s="48" t="s">
        <v>172</v>
      </c>
      <c r="K22" s="47" t="s">
        <v>173</v>
      </c>
      <c r="L22" s="47" t="s">
        <v>174</v>
      </c>
      <c r="M22" s="48" t="s">
        <v>131</v>
      </c>
      <c r="N22" s="48" t="s">
        <v>62</v>
      </c>
      <c r="O22" s="49" t="s">
        <v>133</v>
      </c>
      <c r="P22" s="50" t="s">
        <v>175</v>
      </c>
    </row>
    <row r="23" spans="1:16" ht="12.75" customHeight="1" thickBot="1">
      <c r="A23" s="9" t="str">
        <f t="shared" si="0"/>
        <v> HABZ 45/47 </v>
      </c>
      <c r="B23" s="15" t="str">
        <f t="shared" si="1"/>
        <v>I</v>
      </c>
      <c r="C23" s="9">
        <f t="shared" si="2"/>
        <v>36819.464</v>
      </c>
      <c r="D23" s="12" t="str">
        <f t="shared" si="3"/>
        <v>vis</v>
      </c>
      <c r="E23" s="46">
        <f>VLOOKUP(C23,Active!C$21:E$973,3,FALSE)</f>
        <v>-1984.662884601275</v>
      </c>
      <c r="F23" s="15" t="s">
        <v>62</v>
      </c>
      <c r="G23" s="12" t="str">
        <f t="shared" si="4"/>
        <v>36819.464</v>
      </c>
      <c r="H23" s="9">
        <f t="shared" si="5"/>
        <v>-1392</v>
      </c>
      <c r="I23" s="47" t="s">
        <v>63</v>
      </c>
      <c r="J23" s="48" t="s">
        <v>64</v>
      </c>
      <c r="K23" s="47">
        <v>-1392</v>
      </c>
      <c r="L23" s="47" t="s">
        <v>65</v>
      </c>
      <c r="M23" s="48" t="s">
        <v>66</v>
      </c>
      <c r="N23" s="48"/>
      <c r="O23" s="49" t="s">
        <v>67</v>
      </c>
      <c r="P23" s="49" t="s">
        <v>68</v>
      </c>
    </row>
    <row r="24" spans="1:16" ht="12.75" customHeight="1" thickBot="1">
      <c r="A24" s="9" t="str">
        <f t="shared" si="0"/>
        <v> HABZ 45/47 </v>
      </c>
      <c r="B24" s="15" t="str">
        <f t="shared" si="1"/>
        <v>I</v>
      </c>
      <c r="C24" s="9">
        <f t="shared" si="2"/>
        <v>36899.249000000003</v>
      </c>
      <c r="D24" s="12" t="str">
        <f t="shared" si="3"/>
        <v>vis</v>
      </c>
      <c r="E24" s="46">
        <f>VLOOKUP(C24,Active!C$21:E$973,3,FALSE)</f>
        <v>-1850.6913393046277</v>
      </c>
      <c r="F24" s="15" t="s">
        <v>62</v>
      </c>
      <c r="G24" s="12" t="str">
        <f t="shared" si="4"/>
        <v>36899.249</v>
      </c>
      <c r="H24" s="9">
        <f t="shared" si="5"/>
        <v>-1298</v>
      </c>
      <c r="I24" s="47" t="s">
        <v>69</v>
      </c>
      <c r="J24" s="48" t="s">
        <v>70</v>
      </c>
      <c r="K24" s="47">
        <v>-1298</v>
      </c>
      <c r="L24" s="47" t="s">
        <v>71</v>
      </c>
      <c r="M24" s="48" t="s">
        <v>66</v>
      </c>
      <c r="N24" s="48"/>
      <c r="O24" s="49" t="s">
        <v>67</v>
      </c>
      <c r="P24" s="49" t="s">
        <v>68</v>
      </c>
    </row>
    <row r="25" spans="1:16" ht="12.75" customHeight="1" thickBot="1">
      <c r="A25" s="9" t="str">
        <f t="shared" si="0"/>
        <v> HABZ 45/47 </v>
      </c>
      <c r="B25" s="15" t="str">
        <f t="shared" si="1"/>
        <v>I</v>
      </c>
      <c r="C25" s="9">
        <f t="shared" si="2"/>
        <v>37191.362000000001</v>
      </c>
      <c r="D25" s="12" t="str">
        <f t="shared" si="3"/>
        <v>vis</v>
      </c>
      <c r="E25" s="46">
        <f>VLOOKUP(C25,Active!C$21:E$973,3,FALSE)</f>
        <v>-1360.1877357295509</v>
      </c>
      <c r="F25" s="15" t="s">
        <v>62</v>
      </c>
      <c r="G25" s="12" t="str">
        <f t="shared" si="4"/>
        <v>37191.362</v>
      </c>
      <c r="H25" s="9">
        <f t="shared" si="5"/>
        <v>-954</v>
      </c>
      <c r="I25" s="47" t="s">
        <v>72</v>
      </c>
      <c r="J25" s="48" t="s">
        <v>73</v>
      </c>
      <c r="K25" s="47">
        <v>-954</v>
      </c>
      <c r="L25" s="47" t="s">
        <v>74</v>
      </c>
      <c r="M25" s="48" t="s">
        <v>66</v>
      </c>
      <c r="N25" s="48"/>
      <c r="O25" s="49" t="s">
        <v>67</v>
      </c>
      <c r="P25" s="49" t="s">
        <v>68</v>
      </c>
    </row>
    <row r="26" spans="1:16" ht="12.75" customHeight="1" thickBot="1">
      <c r="A26" s="9" t="str">
        <f t="shared" si="0"/>
        <v> HABZ 45/47 </v>
      </c>
      <c r="B26" s="15" t="str">
        <f t="shared" si="1"/>
        <v>II</v>
      </c>
      <c r="C26" s="9">
        <f t="shared" si="2"/>
        <v>37199.444000000003</v>
      </c>
      <c r="D26" s="12" t="str">
        <f t="shared" si="3"/>
        <v>vis</v>
      </c>
      <c r="E26" s="46">
        <f>VLOOKUP(C26,Active!C$21:E$973,3,FALSE)</f>
        <v>-1346.6167884451272</v>
      </c>
      <c r="F26" s="15" t="s">
        <v>62</v>
      </c>
      <c r="G26" s="12" t="str">
        <f t="shared" si="4"/>
        <v>37199.444</v>
      </c>
      <c r="H26" s="9">
        <f t="shared" si="5"/>
        <v>-944.5</v>
      </c>
      <c r="I26" s="47" t="s">
        <v>75</v>
      </c>
      <c r="J26" s="48" t="s">
        <v>76</v>
      </c>
      <c r="K26" s="47">
        <v>-944.5</v>
      </c>
      <c r="L26" s="47" t="s">
        <v>77</v>
      </c>
      <c r="M26" s="48" t="s">
        <v>66</v>
      </c>
      <c r="N26" s="48"/>
      <c r="O26" s="49" t="s">
        <v>67</v>
      </c>
      <c r="P26" s="49" t="s">
        <v>68</v>
      </c>
    </row>
    <row r="27" spans="1:16" ht="12.75" customHeight="1" thickBot="1">
      <c r="A27" s="9" t="str">
        <f t="shared" si="0"/>
        <v> HABZ 45/47 </v>
      </c>
      <c r="B27" s="15" t="str">
        <f t="shared" si="1"/>
        <v>II</v>
      </c>
      <c r="C27" s="9">
        <f t="shared" si="2"/>
        <v>37959.385999999999</v>
      </c>
      <c r="D27" s="12" t="str">
        <f t="shared" si="3"/>
        <v>vis</v>
      </c>
      <c r="E27" s="46">
        <f>VLOOKUP(C27,Active!C$21:E$973,3,FALSE)</f>
        <v>-70.554820959764015</v>
      </c>
      <c r="F27" s="15" t="s">
        <v>62</v>
      </c>
      <c r="G27" s="12" t="str">
        <f t="shared" si="4"/>
        <v>37959.386</v>
      </c>
      <c r="H27" s="9">
        <f t="shared" si="5"/>
        <v>-49.5</v>
      </c>
      <c r="I27" s="47" t="s">
        <v>78</v>
      </c>
      <c r="J27" s="48" t="s">
        <v>79</v>
      </c>
      <c r="K27" s="47">
        <v>-49.5</v>
      </c>
      <c r="L27" s="47" t="s">
        <v>77</v>
      </c>
      <c r="M27" s="48" t="s">
        <v>66</v>
      </c>
      <c r="N27" s="48"/>
      <c r="O27" s="49" t="s">
        <v>67</v>
      </c>
      <c r="P27" s="49" t="s">
        <v>68</v>
      </c>
    </row>
    <row r="28" spans="1:16" ht="12.75" customHeight="1" thickBot="1">
      <c r="A28" s="9" t="str">
        <f t="shared" si="0"/>
        <v> HABZ 45/47 </v>
      </c>
      <c r="B28" s="15" t="str">
        <f t="shared" si="1"/>
        <v>I</v>
      </c>
      <c r="C28" s="9">
        <f t="shared" si="2"/>
        <v>38322.366000000002</v>
      </c>
      <c r="D28" s="12" t="str">
        <f t="shared" si="3"/>
        <v>vis</v>
      </c>
      <c r="E28" s="46">
        <f>VLOOKUP(C28,Active!C$21:E$973,3,FALSE)</f>
        <v>538.94560533308993</v>
      </c>
      <c r="F28" s="15" t="s">
        <v>62</v>
      </c>
      <c r="G28" s="12" t="str">
        <f t="shared" si="4"/>
        <v>38322.366</v>
      </c>
      <c r="H28" s="9">
        <f t="shared" si="5"/>
        <v>378</v>
      </c>
      <c r="I28" s="47" t="s">
        <v>80</v>
      </c>
      <c r="J28" s="48" t="s">
        <v>81</v>
      </c>
      <c r="K28" s="47">
        <v>378</v>
      </c>
      <c r="L28" s="47" t="s">
        <v>65</v>
      </c>
      <c r="M28" s="48" t="s">
        <v>66</v>
      </c>
      <c r="N28" s="48"/>
      <c r="O28" s="49" t="s">
        <v>67</v>
      </c>
      <c r="P28" s="49" t="s">
        <v>68</v>
      </c>
    </row>
    <row r="29" spans="1:16" ht="12.75" customHeight="1" thickBot="1">
      <c r="A29" s="9" t="str">
        <f t="shared" si="0"/>
        <v> HABZ 45/47 </v>
      </c>
      <c r="B29" s="15" t="str">
        <f t="shared" si="1"/>
        <v>I</v>
      </c>
      <c r="C29" s="9">
        <f t="shared" si="2"/>
        <v>38642.462</v>
      </c>
      <c r="D29" s="12" t="str">
        <f t="shared" si="3"/>
        <v>vis</v>
      </c>
      <c r="E29" s="46">
        <f>VLOOKUP(C29,Active!C$21:E$973,3,FALSE)</f>
        <v>1076.4370606601994</v>
      </c>
      <c r="F29" s="15" t="s">
        <v>62</v>
      </c>
      <c r="G29" s="12" t="str">
        <f t="shared" si="4"/>
        <v>38642.462</v>
      </c>
      <c r="H29" s="9">
        <f t="shared" si="5"/>
        <v>755</v>
      </c>
      <c r="I29" s="47" t="s">
        <v>82</v>
      </c>
      <c r="J29" s="48" t="s">
        <v>83</v>
      </c>
      <c r="K29" s="47">
        <v>755</v>
      </c>
      <c r="L29" s="47" t="s">
        <v>84</v>
      </c>
      <c r="M29" s="48" t="s">
        <v>66</v>
      </c>
      <c r="N29" s="48"/>
      <c r="O29" s="49" t="s">
        <v>67</v>
      </c>
      <c r="P29" s="49" t="s">
        <v>68</v>
      </c>
    </row>
    <row r="30" spans="1:16" ht="12.75" customHeight="1" thickBot="1">
      <c r="A30" s="9" t="str">
        <f t="shared" si="0"/>
        <v> HABZ 45/47 </v>
      </c>
      <c r="B30" s="15" t="str">
        <f t="shared" si="1"/>
        <v>I</v>
      </c>
      <c r="C30" s="9">
        <f t="shared" si="2"/>
        <v>38671.334000000003</v>
      </c>
      <c r="D30" s="12" t="str">
        <f t="shared" si="3"/>
        <v>vis</v>
      </c>
      <c r="E30" s="46">
        <f>VLOOKUP(C30,Active!C$21:E$973,3,FALSE)</f>
        <v>1124.9176830303822</v>
      </c>
      <c r="F30" s="15" t="s">
        <v>62</v>
      </c>
      <c r="G30" s="12" t="str">
        <f t="shared" si="4"/>
        <v>38671.334</v>
      </c>
      <c r="H30" s="9">
        <f t="shared" si="5"/>
        <v>789</v>
      </c>
      <c r="I30" s="47" t="s">
        <v>85</v>
      </c>
      <c r="J30" s="48" t="s">
        <v>86</v>
      </c>
      <c r="K30" s="47">
        <v>789</v>
      </c>
      <c r="L30" s="47" t="s">
        <v>87</v>
      </c>
      <c r="M30" s="48" t="s">
        <v>66</v>
      </c>
      <c r="N30" s="48"/>
      <c r="O30" s="49" t="s">
        <v>67</v>
      </c>
      <c r="P30" s="49" t="s">
        <v>68</v>
      </c>
    </row>
    <row r="31" spans="1:16" ht="12.75" customHeight="1" thickBot="1">
      <c r="A31" s="9" t="str">
        <f t="shared" si="0"/>
        <v> HABZ 45/47 </v>
      </c>
      <c r="B31" s="15" t="str">
        <f t="shared" si="1"/>
        <v>II</v>
      </c>
      <c r="C31" s="9">
        <f t="shared" si="2"/>
        <v>39028.379999999997</v>
      </c>
      <c r="D31" s="12" t="str">
        <f t="shared" si="3"/>
        <v>vis</v>
      </c>
      <c r="E31" s="46">
        <f>VLOOKUP(C31,Active!C$21:E$973,3,FALSE)</f>
        <v>1724.4539913838819</v>
      </c>
      <c r="F31" s="15" t="s">
        <v>62</v>
      </c>
      <c r="G31" s="12" t="str">
        <f t="shared" si="4"/>
        <v>39028.380</v>
      </c>
      <c r="H31" s="9">
        <f t="shared" si="5"/>
        <v>1209.5</v>
      </c>
      <c r="I31" s="47" t="s">
        <v>88</v>
      </c>
      <c r="J31" s="48" t="s">
        <v>89</v>
      </c>
      <c r="K31" s="47">
        <v>1209.5</v>
      </c>
      <c r="L31" s="47" t="s">
        <v>87</v>
      </c>
      <c r="M31" s="48" t="s">
        <v>66</v>
      </c>
      <c r="N31" s="48"/>
      <c r="O31" s="49" t="s">
        <v>67</v>
      </c>
      <c r="P31" s="49" t="s">
        <v>68</v>
      </c>
    </row>
    <row r="32" spans="1:16" ht="12.75" customHeight="1" thickBot="1">
      <c r="A32" s="9" t="str">
        <f t="shared" si="0"/>
        <v>BAVM 209 </v>
      </c>
      <c r="B32" s="15" t="str">
        <f t="shared" si="1"/>
        <v>II</v>
      </c>
      <c r="C32" s="9">
        <f t="shared" si="2"/>
        <v>54801.233699999997</v>
      </c>
      <c r="D32" s="12" t="str">
        <f t="shared" si="3"/>
        <v>vis</v>
      </c>
      <c r="E32" s="46">
        <f>VLOOKUP(C32,Active!C$21:E$973,3,FALSE)</f>
        <v>28209.552492691757</v>
      </c>
      <c r="F32" s="15" t="s">
        <v>62</v>
      </c>
      <c r="G32" s="12" t="str">
        <f t="shared" si="4"/>
        <v>54801.2337</v>
      </c>
      <c r="H32" s="9">
        <f t="shared" si="5"/>
        <v>19785.5</v>
      </c>
      <c r="I32" s="47" t="s">
        <v>128</v>
      </c>
      <c r="J32" s="48" t="s">
        <v>129</v>
      </c>
      <c r="K32" s="47">
        <v>19785.5</v>
      </c>
      <c r="L32" s="47" t="s">
        <v>130</v>
      </c>
      <c r="M32" s="48" t="s">
        <v>131</v>
      </c>
      <c r="N32" s="48" t="s">
        <v>132</v>
      </c>
      <c r="O32" s="49" t="s">
        <v>133</v>
      </c>
      <c r="P32" s="50" t="s">
        <v>134</v>
      </c>
    </row>
    <row r="33" spans="1:16" ht="12.75" customHeight="1" thickBot="1">
      <c r="A33" s="9" t="str">
        <f t="shared" si="0"/>
        <v>BAVM 214 </v>
      </c>
      <c r="B33" s="15" t="str">
        <f t="shared" si="1"/>
        <v>I</v>
      </c>
      <c r="C33" s="9">
        <f t="shared" si="2"/>
        <v>55044.511200000001</v>
      </c>
      <c r="D33" s="12" t="str">
        <f t="shared" si="3"/>
        <v>vis</v>
      </c>
      <c r="E33" s="46">
        <f>VLOOKUP(C33,Active!C$21:E$973,3,FALSE)</f>
        <v>28618.053622113381</v>
      </c>
      <c r="F33" s="15" t="s">
        <v>62</v>
      </c>
      <c r="G33" s="12" t="str">
        <f t="shared" si="4"/>
        <v>55044.5112</v>
      </c>
      <c r="H33" s="9">
        <f t="shared" si="5"/>
        <v>20072</v>
      </c>
      <c r="I33" s="47" t="s">
        <v>135</v>
      </c>
      <c r="J33" s="48" t="s">
        <v>136</v>
      </c>
      <c r="K33" s="47" t="s">
        <v>137</v>
      </c>
      <c r="L33" s="47" t="s">
        <v>138</v>
      </c>
      <c r="M33" s="48" t="s">
        <v>131</v>
      </c>
      <c r="N33" s="48" t="s">
        <v>132</v>
      </c>
      <c r="O33" s="49" t="s">
        <v>139</v>
      </c>
      <c r="P33" s="50" t="s">
        <v>140</v>
      </c>
    </row>
    <row r="34" spans="1:16" ht="12.75" customHeight="1" thickBot="1">
      <c r="A34" s="9" t="str">
        <f t="shared" si="0"/>
        <v>BAVM 214 </v>
      </c>
      <c r="B34" s="15" t="str">
        <f t="shared" si="1"/>
        <v>I</v>
      </c>
      <c r="C34" s="9">
        <f t="shared" si="2"/>
        <v>55124.313300000002</v>
      </c>
      <c r="D34" s="12" t="str">
        <f t="shared" si="3"/>
        <v>vis</v>
      </c>
      <c r="E34" s="46">
        <f>VLOOKUP(C34,Active!C$21:E$973,3,FALSE)</f>
        <v>28752.053880995594</v>
      </c>
      <c r="F34" s="15" t="s">
        <v>62</v>
      </c>
      <c r="G34" s="12" t="str">
        <f t="shared" si="4"/>
        <v>55124.3133</v>
      </c>
      <c r="H34" s="9">
        <f t="shared" si="5"/>
        <v>20166</v>
      </c>
      <c r="I34" s="47" t="s">
        <v>141</v>
      </c>
      <c r="J34" s="48" t="s">
        <v>142</v>
      </c>
      <c r="K34" s="47" t="s">
        <v>143</v>
      </c>
      <c r="L34" s="47" t="s">
        <v>144</v>
      </c>
      <c r="M34" s="48" t="s">
        <v>131</v>
      </c>
      <c r="N34" s="48" t="s">
        <v>132</v>
      </c>
      <c r="O34" s="49" t="s">
        <v>139</v>
      </c>
      <c r="P34" s="50" t="s">
        <v>140</v>
      </c>
    </row>
    <row r="35" spans="1:16" ht="12.75" customHeight="1" thickBot="1">
      <c r="A35" s="9" t="str">
        <f t="shared" si="0"/>
        <v>BAVM 214 </v>
      </c>
      <c r="B35" s="15" t="str">
        <f t="shared" si="1"/>
        <v>I</v>
      </c>
      <c r="C35" s="9">
        <f t="shared" si="2"/>
        <v>55377.417600000001</v>
      </c>
      <c r="D35" s="12" t="str">
        <f t="shared" si="3"/>
        <v>vis</v>
      </c>
      <c r="E35" s="46">
        <f>VLOOKUP(C35,Active!C$21:E$973,3,FALSE)</f>
        <v>29177.055750923832</v>
      </c>
      <c r="F35" s="15" t="s">
        <v>62</v>
      </c>
      <c r="G35" s="12" t="str">
        <f t="shared" si="4"/>
        <v>55377.4176</v>
      </c>
      <c r="H35" s="9">
        <f t="shared" si="5"/>
        <v>20464</v>
      </c>
      <c r="I35" s="47" t="s">
        <v>145</v>
      </c>
      <c r="J35" s="48" t="s">
        <v>146</v>
      </c>
      <c r="K35" s="47" t="s">
        <v>147</v>
      </c>
      <c r="L35" s="47" t="s">
        <v>148</v>
      </c>
      <c r="M35" s="48" t="s">
        <v>131</v>
      </c>
      <c r="N35" s="48" t="s">
        <v>149</v>
      </c>
      <c r="O35" s="49" t="s">
        <v>150</v>
      </c>
      <c r="P35" s="50" t="s">
        <v>140</v>
      </c>
    </row>
    <row r="36" spans="1:16" ht="12.75" customHeight="1" thickBot="1">
      <c r="A36" s="9" t="str">
        <f t="shared" si="0"/>
        <v>BAVM 220 </v>
      </c>
      <c r="B36" s="15" t="str">
        <f t="shared" si="1"/>
        <v>I</v>
      </c>
      <c r="C36" s="9">
        <f t="shared" si="2"/>
        <v>55686.502999999997</v>
      </c>
      <c r="D36" s="12" t="str">
        <f t="shared" si="3"/>
        <v>vis</v>
      </c>
      <c r="E36" s="46">
        <f>VLOOKUP(C36,Active!C$21:E$973,3,FALSE)</f>
        <v>29696.0586796276</v>
      </c>
      <c r="F36" s="15" t="s">
        <v>62</v>
      </c>
      <c r="G36" s="12" t="str">
        <f t="shared" si="4"/>
        <v>55686.5030</v>
      </c>
      <c r="H36" s="9">
        <f t="shared" si="5"/>
        <v>20828</v>
      </c>
      <c r="I36" s="47" t="s">
        <v>151</v>
      </c>
      <c r="J36" s="48" t="s">
        <v>152</v>
      </c>
      <c r="K36" s="47" t="s">
        <v>153</v>
      </c>
      <c r="L36" s="47" t="s">
        <v>154</v>
      </c>
      <c r="M36" s="48" t="s">
        <v>131</v>
      </c>
      <c r="N36" s="48" t="s">
        <v>149</v>
      </c>
      <c r="O36" s="49" t="s">
        <v>150</v>
      </c>
      <c r="P36" s="50" t="s">
        <v>155</v>
      </c>
    </row>
    <row r="37" spans="1:16" ht="12.75" customHeight="1" thickBot="1">
      <c r="A37" s="9" t="str">
        <f t="shared" si="0"/>
        <v>BAVM 225 </v>
      </c>
      <c r="B37" s="15" t="str">
        <f t="shared" si="1"/>
        <v>I</v>
      </c>
      <c r="C37" s="9">
        <f t="shared" si="2"/>
        <v>55833.301800000001</v>
      </c>
      <c r="D37" s="12" t="str">
        <f t="shared" si="3"/>
        <v>vis</v>
      </c>
      <c r="E37" s="46">
        <f>VLOOKUP(C37,Active!C$21:E$973,3,FALSE)</f>
        <v>29942.556919693943</v>
      </c>
      <c r="F37" s="15" t="s">
        <v>62</v>
      </c>
      <c r="G37" s="12" t="str">
        <f t="shared" si="4"/>
        <v>55833.3018</v>
      </c>
      <c r="H37" s="9">
        <f t="shared" si="5"/>
        <v>21001</v>
      </c>
      <c r="I37" s="47" t="s">
        <v>166</v>
      </c>
      <c r="J37" s="48" t="s">
        <v>167</v>
      </c>
      <c r="K37" s="47" t="s">
        <v>168</v>
      </c>
      <c r="L37" s="47" t="s">
        <v>169</v>
      </c>
      <c r="M37" s="48" t="s">
        <v>131</v>
      </c>
      <c r="N37" s="48" t="s">
        <v>132</v>
      </c>
      <c r="O37" s="49" t="s">
        <v>133</v>
      </c>
      <c r="P37" s="50" t="s">
        <v>170</v>
      </c>
    </row>
    <row r="38" spans="1:16">
      <c r="B38" s="15"/>
      <c r="F38" s="15"/>
    </row>
    <row r="39" spans="1:16">
      <c r="B39" s="15"/>
      <c r="F39" s="15"/>
    </row>
    <row r="40" spans="1:16">
      <c r="B40" s="15"/>
      <c r="F40" s="15"/>
    </row>
    <row r="41" spans="1:16">
      <c r="B41" s="15"/>
      <c r="F41" s="15"/>
    </row>
    <row r="42" spans="1:16">
      <c r="B42" s="15"/>
      <c r="F42" s="15"/>
    </row>
    <row r="43" spans="1:16">
      <c r="B43" s="15"/>
      <c r="F43" s="15"/>
    </row>
    <row r="44" spans="1:16">
      <c r="B44" s="15"/>
      <c r="F44" s="15"/>
    </row>
    <row r="45" spans="1:16">
      <c r="B45" s="15"/>
      <c r="F45" s="15"/>
    </row>
    <row r="46" spans="1:16">
      <c r="B46" s="15"/>
      <c r="F46" s="15"/>
    </row>
    <row r="47" spans="1:16">
      <c r="B47" s="15"/>
      <c r="F47" s="15"/>
    </row>
    <row r="48" spans="1:1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</sheetData>
  <phoneticPr fontId="7" type="noConversion"/>
  <hyperlinks>
    <hyperlink ref="P18" r:id="rId1" display="http://www.konkoly.hu/cgi-bin/IBVS?5378" xr:uid="{00000000-0004-0000-0100-000000000000}"/>
    <hyperlink ref="P19" r:id="rId2" display="http://www.konkoly.hu/cgi-bin/IBVS?5672" xr:uid="{00000000-0004-0000-0100-000001000000}"/>
    <hyperlink ref="P32" r:id="rId3" display="http://www.bav-astro.de/sfs/BAVM_link.php?BAVMnr=209" xr:uid="{00000000-0004-0000-0100-000002000000}"/>
    <hyperlink ref="P33" r:id="rId4" display="http://www.bav-astro.de/sfs/BAVM_link.php?BAVMnr=214" xr:uid="{00000000-0004-0000-0100-000003000000}"/>
    <hyperlink ref="P34" r:id="rId5" display="http://www.bav-astro.de/sfs/BAVM_link.php?BAVMnr=214" xr:uid="{00000000-0004-0000-0100-000004000000}"/>
    <hyperlink ref="P35" r:id="rId6" display="http://www.bav-astro.de/sfs/BAVM_link.php?BAVMnr=214" xr:uid="{00000000-0004-0000-0100-000005000000}"/>
    <hyperlink ref="P36" r:id="rId7" display="http://www.bav-astro.de/sfs/BAVM_link.php?BAVMnr=220" xr:uid="{00000000-0004-0000-0100-000006000000}"/>
    <hyperlink ref="P20" r:id="rId8" display="http://var.astro.cz/oejv/issues/oejv0160.pdf" xr:uid="{00000000-0004-0000-0100-000007000000}"/>
    <hyperlink ref="P21" r:id="rId9" display="http://var.astro.cz/oejv/issues/oejv0160.pdf" xr:uid="{00000000-0004-0000-0100-000008000000}"/>
    <hyperlink ref="P37" r:id="rId10" display="http://www.bav-astro.de/sfs/BAVM_link.php?BAVMnr=225" xr:uid="{00000000-0004-0000-0100-000009000000}"/>
    <hyperlink ref="P22" r:id="rId11" display="http://www.bav-astro.de/sfs/BAVM_link.php?BAVMnr=234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2024-02-04T04:05:10Z</dcterms:modified>
</cp:coreProperties>
</file>