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E0541F-45A8-46B6-A7A4-7195A7119DB4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81" i="1" l="1"/>
  <c r="C13" i="1"/>
  <c r="Q79" i="1"/>
  <c r="Q80" i="1"/>
  <c r="C7" i="1"/>
  <c r="E81" i="1"/>
  <c r="F81" i="1"/>
  <c r="C8" i="1"/>
  <c r="E71" i="1"/>
  <c r="F71" i="1"/>
  <c r="E72" i="1"/>
  <c r="F72" i="1"/>
  <c r="G72" i="1"/>
  <c r="E23" i="1"/>
  <c r="F23" i="1"/>
  <c r="G23" i="1"/>
  <c r="E58" i="1"/>
  <c r="F58" i="1"/>
  <c r="G58" i="1"/>
  <c r="E68" i="1"/>
  <c r="F68" i="1"/>
  <c r="G68" i="1"/>
  <c r="R68" i="1"/>
  <c r="E35" i="1"/>
  <c r="F35" i="1"/>
  <c r="G35" i="1"/>
  <c r="R35" i="1"/>
  <c r="E37" i="1"/>
  <c r="F37" i="1"/>
  <c r="G37" i="1"/>
  <c r="R37" i="1"/>
  <c r="E44" i="1"/>
  <c r="F44" i="1"/>
  <c r="G44" i="1"/>
  <c r="R44" i="1"/>
  <c r="E47" i="1"/>
  <c r="F47" i="1"/>
  <c r="G47" i="1"/>
  <c r="E51" i="1"/>
  <c r="F51" i="1"/>
  <c r="G51" i="1"/>
  <c r="R51" i="1"/>
  <c r="E57" i="1"/>
  <c r="F57" i="1"/>
  <c r="G57" i="1"/>
  <c r="R57" i="1"/>
  <c r="E62" i="1"/>
  <c r="F62" i="1"/>
  <c r="G62" i="1"/>
  <c r="R62" i="1"/>
  <c r="E54" i="1"/>
  <c r="F54" i="1"/>
  <c r="G54" i="1"/>
  <c r="R54" i="1"/>
  <c r="E66" i="1"/>
  <c r="F66" i="1"/>
  <c r="G66" i="1"/>
  <c r="R66" i="1"/>
  <c r="E24" i="1"/>
  <c r="F24" i="1"/>
  <c r="G24" i="1"/>
  <c r="R24" i="1"/>
  <c r="E32" i="1"/>
  <c r="F32" i="1"/>
  <c r="G32" i="1"/>
  <c r="R32" i="1"/>
  <c r="E67" i="1"/>
  <c r="F67" i="1"/>
  <c r="G67" i="1"/>
  <c r="R67" i="1"/>
  <c r="E61" i="1"/>
  <c r="F61" i="1"/>
  <c r="G61" i="1"/>
  <c r="R61" i="1"/>
  <c r="E25" i="1"/>
  <c r="F25" i="1"/>
  <c r="G25" i="1"/>
  <c r="E43" i="1"/>
  <c r="F43" i="1"/>
  <c r="G43" i="1"/>
  <c r="R43" i="1"/>
  <c r="E41" i="1"/>
  <c r="F41" i="1"/>
  <c r="G41" i="1"/>
  <c r="R41" i="1"/>
  <c r="E42" i="1"/>
  <c r="F42" i="1"/>
  <c r="G42" i="1"/>
  <c r="R42" i="1"/>
  <c r="E48" i="1"/>
  <c r="F48" i="1"/>
  <c r="G48" i="1"/>
  <c r="R48" i="1"/>
  <c r="E39" i="1"/>
  <c r="F39" i="1"/>
  <c r="G39" i="1"/>
  <c r="E77" i="1"/>
  <c r="F77" i="1"/>
  <c r="E78" i="1"/>
  <c r="F78" i="1"/>
  <c r="E22" i="1"/>
  <c r="F22" i="1"/>
  <c r="G22" i="1"/>
  <c r="E21" i="1"/>
  <c r="F21" i="1"/>
  <c r="G21" i="1"/>
  <c r="E29" i="1"/>
  <c r="F29" i="1"/>
  <c r="G29" i="1"/>
  <c r="S29" i="1"/>
  <c r="E31" i="1"/>
  <c r="F31" i="1"/>
  <c r="G31" i="1"/>
  <c r="E63" i="1"/>
  <c r="F63" i="1"/>
  <c r="E64" i="1"/>
  <c r="F64" i="1"/>
  <c r="G64" i="1"/>
  <c r="S64" i="1"/>
  <c r="E65" i="1"/>
  <c r="F65" i="1"/>
  <c r="G65" i="1"/>
  <c r="S65" i="1"/>
  <c r="E55" i="1"/>
  <c r="F55" i="1"/>
  <c r="G55" i="1"/>
  <c r="E40" i="1"/>
  <c r="F40" i="1"/>
  <c r="E45" i="1"/>
  <c r="F45" i="1"/>
  <c r="G45" i="1"/>
  <c r="S45" i="1"/>
  <c r="E76" i="1"/>
  <c r="F76" i="1"/>
  <c r="C14" i="1"/>
  <c r="F12" i="1"/>
  <c r="G63" i="1"/>
  <c r="S63" i="1"/>
  <c r="G40" i="1"/>
  <c r="S40" i="1"/>
  <c r="D14" i="1"/>
  <c r="D13" i="1"/>
  <c r="Q72" i="1"/>
  <c r="Q70" i="1"/>
  <c r="Q69" i="1"/>
  <c r="Q58" i="1"/>
  <c r="Q25" i="1"/>
  <c r="Q23" i="1"/>
  <c r="Q22" i="1"/>
  <c r="Q21" i="1"/>
  <c r="G63" i="2"/>
  <c r="C63" i="2"/>
  <c r="E63" i="2"/>
  <c r="G53" i="2"/>
  <c r="C53" i="2"/>
  <c r="E53" i="2"/>
  <c r="G52" i="2"/>
  <c r="C52" i="2"/>
  <c r="E52" i="2"/>
  <c r="G62" i="2"/>
  <c r="C62" i="2"/>
  <c r="E62" i="2"/>
  <c r="G51" i="2"/>
  <c r="C51" i="2"/>
  <c r="E51" i="2"/>
  <c r="G61" i="2"/>
  <c r="C61" i="2"/>
  <c r="G60" i="2"/>
  <c r="C60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59" i="2"/>
  <c r="C59" i="2"/>
  <c r="E59" i="2"/>
  <c r="G45" i="2"/>
  <c r="C45" i="2"/>
  <c r="E45" i="2"/>
  <c r="G44" i="2"/>
  <c r="C44" i="2"/>
  <c r="G43" i="2"/>
  <c r="C43" i="2"/>
  <c r="G58" i="2"/>
  <c r="C58" i="2"/>
  <c r="E58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G11" i="2"/>
  <c r="C11" i="2"/>
  <c r="G57" i="2"/>
  <c r="C57" i="2"/>
  <c r="E57" i="2"/>
  <c r="G56" i="2"/>
  <c r="C56" i="2"/>
  <c r="E56" i="2"/>
  <c r="G55" i="2"/>
  <c r="C55" i="2"/>
  <c r="E55" i="2"/>
  <c r="G54" i="2"/>
  <c r="C54" i="2"/>
  <c r="E54" i="2"/>
  <c r="H63" i="2"/>
  <c r="D63" i="2"/>
  <c r="B63" i="2"/>
  <c r="A63" i="2"/>
  <c r="H53" i="2"/>
  <c r="B53" i="2"/>
  <c r="D53" i="2"/>
  <c r="A53" i="2"/>
  <c r="H52" i="2"/>
  <c r="D52" i="2"/>
  <c r="B52" i="2"/>
  <c r="A52" i="2"/>
  <c r="H62" i="2"/>
  <c r="B62" i="2"/>
  <c r="D62" i="2"/>
  <c r="A62" i="2"/>
  <c r="H51" i="2"/>
  <c r="D51" i="2"/>
  <c r="B51" i="2"/>
  <c r="A51" i="2"/>
  <c r="H61" i="2"/>
  <c r="B61" i="2"/>
  <c r="D61" i="2"/>
  <c r="A61" i="2"/>
  <c r="H60" i="2"/>
  <c r="D60" i="2"/>
  <c r="B60" i="2"/>
  <c r="A60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59" i="2"/>
  <c r="D59" i="2"/>
  <c r="B59" i="2"/>
  <c r="A59" i="2"/>
  <c r="H45" i="2"/>
  <c r="B45" i="2"/>
  <c r="D45" i="2"/>
  <c r="A45" i="2"/>
  <c r="H44" i="2"/>
  <c r="D44" i="2"/>
  <c r="B44" i="2"/>
  <c r="A44" i="2"/>
  <c r="H43" i="2"/>
  <c r="B43" i="2"/>
  <c r="D43" i="2"/>
  <c r="A43" i="2"/>
  <c r="H58" i="2"/>
  <c r="D58" i="2"/>
  <c r="B58" i="2"/>
  <c r="A58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B11" i="2"/>
  <c r="D11" i="2"/>
  <c r="A11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Q78" i="1"/>
  <c r="Q76" i="1"/>
  <c r="Q77" i="1"/>
  <c r="C17" i="1"/>
  <c r="Q26" i="1"/>
  <c r="Q59" i="1"/>
  <c r="J67" i="1"/>
  <c r="Q67" i="1"/>
  <c r="Q60" i="1"/>
  <c r="J61" i="1"/>
  <c r="Q61" i="1"/>
  <c r="Q75" i="1"/>
  <c r="Q74" i="1"/>
  <c r="Q71" i="1"/>
  <c r="Q73" i="1"/>
  <c r="H24" i="1"/>
  <c r="Q24" i="1"/>
  <c r="Q27" i="1"/>
  <c r="I29" i="1"/>
  <c r="Q29" i="1"/>
  <c r="Q30" i="1"/>
  <c r="Q31" i="1"/>
  <c r="Q32" i="1"/>
  <c r="Q33" i="1"/>
  <c r="Q34" i="1"/>
  <c r="I35" i="1"/>
  <c r="Q35" i="1"/>
  <c r="Q36" i="1"/>
  <c r="I37" i="1"/>
  <c r="Q37" i="1"/>
  <c r="Q38" i="1"/>
  <c r="Q39" i="1"/>
  <c r="I40" i="1"/>
  <c r="Q40" i="1"/>
  <c r="I41" i="1"/>
  <c r="Q41" i="1"/>
  <c r="I42" i="1"/>
  <c r="Q42" i="1"/>
  <c r="I43" i="1"/>
  <c r="Q43" i="1"/>
  <c r="I44" i="1"/>
  <c r="Q44" i="1"/>
  <c r="I45" i="1"/>
  <c r="Q45" i="1"/>
  <c r="Q46" i="1"/>
  <c r="Q47" i="1"/>
  <c r="I48" i="1"/>
  <c r="Q48" i="1"/>
  <c r="Q49" i="1"/>
  <c r="Q50" i="1"/>
  <c r="I51" i="1"/>
  <c r="Q51" i="1"/>
  <c r="Q52" i="1"/>
  <c r="Q53" i="1"/>
  <c r="I54" i="1"/>
  <c r="Q54" i="1"/>
  <c r="Q55" i="1"/>
  <c r="Q56" i="1"/>
  <c r="J57" i="1"/>
  <c r="Q57" i="1"/>
  <c r="J62" i="1"/>
  <c r="Q62" i="1"/>
  <c r="J63" i="1"/>
  <c r="Q63" i="1"/>
  <c r="J64" i="1"/>
  <c r="Q64" i="1"/>
  <c r="J65" i="1"/>
  <c r="Q65" i="1"/>
  <c r="J66" i="1"/>
  <c r="Q66" i="1"/>
  <c r="J68" i="1"/>
  <c r="Q68" i="1"/>
  <c r="Q28" i="1"/>
  <c r="E34" i="2"/>
  <c r="E19" i="2"/>
  <c r="S72" i="1"/>
  <c r="J72" i="1"/>
  <c r="R47" i="1"/>
  <c r="I47" i="1"/>
  <c r="E15" i="2"/>
  <c r="R39" i="1"/>
  <c r="I39" i="1"/>
  <c r="I31" i="1"/>
  <c r="S31" i="1"/>
  <c r="E37" i="2"/>
  <c r="E60" i="2"/>
  <c r="J32" i="1"/>
  <c r="E11" i="2"/>
  <c r="E61" i="2"/>
  <c r="S21" i="1"/>
  <c r="I21" i="1"/>
  <c r="E12" i="2"/>
  <c r="E23" i="2"/>
  <c r="J55" i="1"/>
  <c r="S55" i="1"/>
  <c r="S22" i="1"/>
  <c r="J22" i="1"/>
  <c r="R58" i="1"/>
  <c r="I58" i="1"/>
  <c r="E13" i="2"/>
  <c r="R25" i="1"/>
  <c r="I25" i="1"/>
  <c r="R23" i="1"/>
  <c r="J23" i="1"/>
  <c r="G76" i="1"/>
  <c r="G78" i="1"/>
  <c r="G71" i="1"/>
  <c r="E79" i="1"/>
  <c r="F79" i="1"/>
  <c r="G79" i="1"/>
  <c r="E70" i="1"/>
  <c r="F70" i="1"/>
  <c r="E75" i="1"/>
  <c r="F75" i="1"/>
  <c r="G75" i="1"/>
  <c r="E73" i="1"/>
  <c r="F73" i="1"/>
  <c r="G73" i="1"/>
  <c r="G77" i="1"/>
  <c r="G70" i="1"/>
  <c r="G81" i="1"/>
  <c r="E27" i="1"/>
  <c r="F27" i="1"/>
  <c r="G27" i="1"/>
  <c r="E56" i="1"/>
  <c r="F56" i="1"/>
  <c r="G56" i="1"/>
  <c r="E60" i="1"/>
  <c r="F60" i="1"/>
  <c r="G60" i="1"/>
  <c r="E59" i="1"/>
  <c r="F59" i="1"/>
  <c r="G59" i="1"/>
  <c r="E26" i="1"/>
  <c r="F26" i="1"/>
  <c r="G26" i="1"/>
  <c r="E28" i="1"/>
  <c r="F28" i="1"/>
  <c r="G28" i="1"/>
  <c r="E34" i="1"/>
  <c r="F34" i="1"/>
  <c r="G34" i="1"/>
  <c r="E53" i="1"/>
  <c r="F53" i="1"/>
  <c r="G53" i="1"/>
  <c r="E49" i="1"/>
  <c r="F49" i="1"/>
  <c r="G49" i="1"/>
  <c r="E52" i="1"/>
  <c r="F52" i="1"/>
  <c r="G52" i="1"/>
  <c r="E50" i="1"/>
  <c r="F50" i="1"/>
  <c r="G50" i="1"/>
  <c r="E46" i="1"/>
  <c r="F46" i="1"/>
  <c r="G46" i="1"/>
  <c r="E38" i="1"/>
  <c r="F38" i="1"/>
  <c r="G38" i="1"/>
  <c r="E36" i="1"/>
  <c r="F36" i="1"/>
  <c r="G36" i="1"/>
  <c r="E33" i="1"/>
  <c r="F33" i="1"/>
  <c r="G33" i="1"/>
  <c r="E30" i="1"/>
  <c r="F30" i="1"/>
  <c r="G30" i="1"/>
  <c r="E69" i="1"/>
  <c r="F69" i="1"/>
  <c r="E74" i="1"/>
  <c r="F74" i="1"/>
  <c r="G74" i="1"/>
  <c r="E80" i="1"/>
  <c r="F80" i="1"/>
  <c r="G80" i="1"/>
  <c r="G69" i="1"/>
  <c r="R49" i="1"/>
  <c r="I49" i="1"/>
  <c r="R27" i="1"/>
  <c r="I27" i="1"/>
  <c r="R30" i="1"/>
  <c r="I30" i="1"/>
  <c r="R53" i="1"/>
  <c r="I53" i="1"/>
  <c r="R33" i="1"/>
  <c r="I33" i="1"/>
  <c r="R34" i="1"/>
  <c r="I34" i="1"/>
  <c r="R36" i="1"/>
  <c r="I36" i="1"/>
  <c r="R28" i="1"/>
  <c r="H28" i="1"/>
  <c r="R38" i="1"/>
  <c r="I38" i="1"/>
  <c r="R26" i="1"/>
  <c r="H26" i="1"/>
  <c r="S73" i="1"/>
  <c r="J73" i="1"/>
  <c r="R46" i="1"/>
  <c r="I46" i="1"/>
  <c r="J59" i="1"/>
  <c r="R59" i="1"/>
  <c r="K80" i="1"/>
  <c r="R80" i="1"/>
  <c r="R50" i="1"/>
  <c r="I50" i="1"/>
  <c r="J60" i="1"/>
  <c r="R60" i="1"/>
  <c r="J74" i="1"/>
  <c r="S74" i="1"/>
  <c r="S19" i="1"/>
  <c r="E19" i="1"/>
  <c r="R52" i="1"/>
  <c r="I52" i="1"/>
  <c r="R56" i="1"/>
  <c r="J56" i="1"/>
  <c r="K79" i="1"/>
  <c r="S79" i="1"/>
  <c r="R75" i="1"/>
  <c r="J75" i="1"/>
  <c r="E21" i="2"/>
  <c r="E18" i="2"/>
  <c r="E41" i="2"/>
  <c r="R19" i="1"/>
  <c r="E18" i="1"/>
  <c r="I81" i="1"/>
  <c r="S81" i="1"/>
  <c r="R70" i="1"/>
  <c r="I70" i="1"/>
  <c r="J71" i="1"/>
  <c r="R71" i="1"/>
  <c r="E38" i="2"/>
  <c r="E31" i="2"/>
  <c r="R69" i="1"/>
  <c r="I69" i="1"/>
  <c r="R77" i="1"/>
  <c r="K77" i="1"/>
  <c r="R78" i="1"/>
  <c r="K78" i="1"/>
  <c r="S76" i="1"/>
  <c r="K76" i="1"/>
  <c r="E44" i="2"/>
  <c r="E43" i="2"/>
  <c r="E35" i="2"/>
  <c r="C11" i="1"/>
  <c r="C12" i="1"/>
  <c r="D11" i="1"/>
  <c r="D12" i="1"/>
  <c r="D16" i="1" l="1"/>
  <c r="D19" i="1" s="1"/>
  <c r="P78" i="1"/>
  <c r="P54" i="1"/>
  <c r="P79" i="1"/>
  <c r="P43" i="1"/>
  <c r="P45" i="1"/>
  <c r="P39" i="1"/>
  <c r="P77" i="1"/>
  <c r="P52" i="1"/>
  <c r="P32" i="1"/>
  <c r="P55" i="1"/>
  <c r="P67" i="1"/>
  <c r="P25" i="1"/>
  <c r="P68" i="1"/>
  <c r="P40" i="1"/>
  <c r="P46" i="1"/>
  <c r="P27" i="1"/>
  <c r="P76" i="1"/>
  <c r="P66" i="1"/>
  <c r="P60" i="1"/>
  <c r="P48" i="1"/>
  <c r="P65" i="1"/>
  <c r="P62" i="1"/>
  <c r="D15" i="1"/>
  <c r="C19" i="1" s="1"/>
  <c r="P81" i="1"/>
  <c r="P63" i="1"/>
  <c r="P35" i="1"/>
  <c r="P24" i="1"/>
  <c r="P57" i="1"/>
  <c r="P41" i="1"/>
  <c r="P47" i="1"/>
  <c r="P80" i="1"/>
  <c r="P33" i="1"/>
  <c r="P44" i="1"/>
  <c r="P37" i="1"/>
  <c r="P61" i="1"/>
  <c r="P50" i="1"/>
  <c r="P73" i="1"/>
  <c r="P70" i="1"/>
  <c r="P71" i="1"/>
  <c r="P69" i="1"/>
  <c r="P26" i="1"/>
  <c r="P53" i="1"/>
  <c r="P36" i="1"/>
  <c r="P31" i="1"/>
  <c r="P42" i="1"/>
  <c r="P58" i="1"/>
  <c r="P30" i="1"/>
  <c r="P51" i="1"/>
  <c r="P28" i="1"/>
  <c r="P64" i="1"/>
  <c r="P72" i="1"/>
  <c r="P29" i="1"/>
  <c r="P23" i="1"/>
  <c r="P38" i="1"/>
  <c r="P22" i="1"/>
  <c r="P34" i="1"/>
  <c r="P59" i="1"/>
  <c r="P74" i="1"/>
  <c r="P49" i="1"/>
  <c r="P75" i="1"/>
  <c r="P21" i="1"/>
  <c r="P56" i="1"/>
  <c r="C16" i="1"/>
  <c r="D18" i="1" s="1"/>
  <c r="O52" i="1"/>
  <c r="O25" i="1"/>
  <c r="O78" i="1"/>
  <c r="O76" i="1"/>
  <c r="O61" i="1"/>
  <c r="O30" i="1"/>
  <c r="O66" i="1"/>
  <c r="O41" i="1"/>
  <c r="O47" i="1"/>
  <c r="O21" i="1"/>
  <c r="O37" i="1"/>
  <c r="O69" i="1"/>
  <c r="O40" i="1"/>
  <c r="O24" i="1"/>
  <c r="O80" i="1"/>
  <c r="O22" i="1"/>
  <c r="O60" i="1"/>
  <c r="O74" i="1"/>
  <c r="O50" i="1"/>
  <c r="O33" i="1"/>
  <c r="O75" i="1"/>
  <c r="O28" i="1"/>
  <c r="O70" i="1"/>
  <c r="O81" i="1"/>
  <c r="O59" i="1"/>
  <c r="O29" i="1"/>
  <c r="O53" i="1"/>
  <c r="O39" i="1"/>
  <c r="O31" i="1"/>
  <c r="O67" i="1"/>
  <c r="O58" i="1"/>
  <c r="O72" i="1"/>
  <c r="O43" i="1"/>
  <c r="O32" i="1"/>
  <c r="O56" i="1"/>
  <c r="O63" i="1"/>
  <c r="O51" i="1"/>
  <c r="C15" i="1"/>
  <c r="O23" i="1"/>
  <c r="O57" i="1"/>
  <c r="O46" i="1"/>
  <c r="O62" i="1"/>
  <c r="O77" i="1"/>
  <c r="O26" i="1"/>
  <c r="O54" i="1"/>
  <c r="O27" i="1"/>
  <c r="O73" i="1"/>
  <c r="O49" i="1"/>
  <c r="O42" i="1"/>
  <c r="O44" i="1"/>
  <c r="O68" i="1"/>
  <c r="O35" i="1"/>
  <c r="O36" i="1"/>
  <c r="O79" i="1"/>
  <c r="O34" i="1"/>
  <c r="O55" i="1"/>
  <c r="O38" i="1"/>
  <c r="O71" i="1"/>
  <c r="O45" i="1"/>
  <c r="O64" i="1"/>
  <c r="O65" i="1"/>
  <c r="O48" i="1"/>
  <c r="F13" i="1"/>
  <c r="F14" i="1" l="1"/>
  <c r="F15" i="1" s="1"/>
  <c r="C18" i="1"/>
</calcChain>
</file>

<file path=xl/sharedStrings.xml><?xml version="1.0" encoding="utf-8"?>
<sst xmlns="http://schemas.openxmlformats.org/spreadsheetml/2006/main" count="642" uniqueCount="311">
  <si>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</si>
  <si>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</si>
  <si>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</si>
  <si>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</si>
  <si>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</si>
  <si>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</si>
  <si>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</si>
  <si>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</si>
  <si>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</si>
  <si>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</si>
  <si>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</si>
  <si>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</si>
  <si>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</si>
  <si>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</si>
  <si>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</si>
  <si>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</si>
  <si>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</si>
  <si>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</si>
  <si>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</si>
  <si>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</si>
  <si>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</si>
  <si>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Misc</t>
  </si>
  <si>
    <t>phe</t>
  </si>
  <si>
    <t>K</t>
  </si>
  <si>
    <t>v</t>
  </si>
  <si>
    <t>JAAVSO 5,29</t>
  </si>
  <si>
    <t>AJ 82,653</t>
  </si>
  <si>
    <t>IBVS 3070</t>
  </si>
  <si>
    <t>:</t>
  </si>
  <si>
    <t>BAAVSS 58,11</t>
  </si>
  <si>
    <t>Brown A</t>
  </si>
  <si>
    <t>BBSAG Bull.47</t>
  </si>
  <si>
    <t>B</t>
  </si>
  <si>
    <t>BAAVSS 59,16</t>
  </si>
  <si>
    <t>MVS 9,163</t>
  </si>
  <si>
    <t>MVS 10,42</t>
  </si>
  <si>
    <t>MVS 10,104</t>
  </si>
  <si>
    <t>BAAVSS 61,14</t>
  </si>
  <si>
    <t>MVS 11,19</t>
  </si>
  <si>
    <t>BAAVSS 64,21</t>
  </si>
  <si>
    <t>BAV-M 46</t>
  </si>
  <si>
    <t>BAAVSS 67,7</t>
  </si>
  <si>
    <t>Martignoni M</t>
  </si>
  <si>
    <t>BBSAG Bull.109</t>
  </si>
  <si>
    <t>IBVS 4363</t>
  </si>
  <si>
    <t>BAAVSS 72,22</t>
  </si>
  <si>
    <t>IBVS 3900</t>
  </si>
  <si>
    <t>IBVS 4340</t>
  </si>
  <si>
    <t>V</t>
  </si>
  <si>
    <t>BAV-M 59</t>
  </si>
  <si>
    <t>Diethelm R</t>
  </si>
  <si>
    <t>BBSAG Bull.99</t>
  </si>
  <si>
    <t>IBVS 4009</t>
  </si>
  <si>
    <t>BAA 81</t>
  </si>
  <si>
    <t>II</t>
  </si>
  <si>
    <t xml:space="preserve"> II</t>
  </si>
  <si>
    <t>Eccentric orbit</t>
  </si>
  <si>
    <t>Primary</t>
  </si>
  <si>
    <t>Secondary</t>
  </si>
  <si>
    <t>Prim Fit</t>
  </si>
  <si>
    <t>Sec. Fit</t>
  </si>
  <si>
    <t>IBVS 5456</t>
  </si>
  <si>
    <t>I</t>
  </si>
  <si>
    <t>IBVS 5136</t>
  </si>
  <si>
    <t>EA/DM</t>
  </si>
  <si>
    <t>IBVS 0817</t>
  </si>
  <si>
    <t>Prim. Ephemeris =</t>
  </si>
  <si>
    <t>Sec. Ephemeris =</t>
  </si>
  <si>
    <t>V1143 Cyg / GSC 03938-01983</t>
  </si>
  <si>
    <t>Start of Lin fit (row)</t>
  </si>
  <si>
    <t>Start cell (x)</t>
  </si>
  <si>
    <t>Start cell (y)</t>
  </si>
  <si>
    <t># of data points =</t>
  </si>
  <si>
    <t>OEJV 0074</t>
  </si>
  <si>
    <t>OEJV 0137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</si>
  <si>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</si>
  <si>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</si>
  <si>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</si>
  <si>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</si>
  <si>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</si>
  <si>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</si>
  <si>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</si>
  <si>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</si>
  <si>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</si>
  <si>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</si>
  <si>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2438932.934 </t>
  </si>
  <si>
    <t> 21.06.1965 10:24 </t>
  </si>
  <si>
    <t> 0.051 </t>
  </si>
  <si>
    <t>E </t>
  </si>
  <si>
    <t>?</t>
  </si>
  <si>
    <t> Snowden &amp; Koch </t>
  </si>
  <si>
    <t> APJ 156.667 </t>
  </si>
  <si>
    <t>2438978.7807 </t>
  </si>
  <si>
    <t> 06.08.1965 06:44 </t>
  </si>
  <si>
    <t> 0.0526 </t>
  </si>
  <si>
    <t> A.Guarnieri et al. </t>
  </si>
  <si>
    <t> AAPS 20.210 </t>
  </si>
  <si>
    <t>2439385.6881 </t>
  </si>
  <si>
    <t> 17.09.1966 04:30 </t>
  </si>
  <si>
    <t> 0.0047 </t>
  </si>
  <si>
    <t>2440837.4313 </t>
  </si>
  <si>
    <t> 07.09.1970 22:21 </t>
  </si>
  <si>
    <t> 0.0032 </t>
  </si>
  <si>
    <t> P.Battistini </t>
  </si>
  <si>
    <t>IBVS 817 </t>
  </si>
  <si>
    <t>2441135.4208 </t>
  </si>
  <si>
    <t> 02.07.1971 22:05 </t>
  </si>
  <si>
    <t> 0.0030 </t>
  </si>
  <si>
    <t>2441578.587 </t>
  </si>
  <si>
    <t> 18.09.1972 02:05 </t>
  </si>
  <si>
    <t> 0.005 </t>
  </si>
  <si>
    <t>V </t>
  </si>
  <si>
    <t> B.Small </t>
  </si>
  <si>
    <t> AVSJ 5.34 </t>
  </si>
  <si>
    <t>2442212.7651 </t>
  </si>
  <si>
    <t> 14.06.1974 06:21 </t>
  </si>
  <si>
    <t> 0.0000 </t>
  </si>
  <si>
    <t> R.H.Koch </t>
  </si>
  <si>
    <t> AJ 82.653 </t>
  </si>
  <si>
    <t>2442615.75 </t>
  </si>
  <si>
    <t> 22.07.1975 06:00 </t>
  </si>
  <si>
    <t> 0.02 </t>
  </si>
  <si>
    <t>2442617.727 </t>
  </si>
  <si>
    <t> 24.07.1975 05:26 </t>
  </si>
  <si>
    <t> 0.002 </t>
  </si>
  <si>
    <t>2443066.575 </t>
  </si>
  <si>
    <t> 15.10.1976 01:48 </t>
  </si>
  <si>
    <t> 0.040 </t>
  </si>
  <si>
    <t>2443305.3943 </t>
  </si>
  <si>
    <t> 10.06.1977 21:27 </t>
  </si>
  <si>
    <t> 0.0003 </t>
  </si>
  <si>
    <t> E.Guinan et al. </t>
  </si>
  <si>
    <t>IBVS 3070 </t>
  </si>
  <si>
    <t>2443366.495 </t>
  </si>
  <si>
    <t> 10.08.1977 23:52 </t>
  </si>
  <si>
    <t> -0.025 </t>
  </si>
  <si>
    <t> T.Brelstaff </t>
  </si>
  <si>
    <t> VSSC 58.16 </t>
  </si>
  <si>
    <t>2444115.328 </t>
  </si>
  <si>
    <t> 29.08.1979 19:52 </t>
  </si>
  <si>
    <t> 0.013 </t>
  </si>
  <si>
    <t> A.Buzzoni </t>
  </si>
  <si>
    <t> BBS 47 </t>
  </si>
  <si>
    <t>2444130.598 </t>
  </si>
  <si>
    <t> 14.09.1979 02:21 </t>
  </si>
  <si>
    <t> VSSC 59.17 </t>
  </si>
  <si>
    <t>2444176.425 </t>
  </si>
  <si>
    <t> 29.10.1979 22:12 </t>
  </si>
  <si>
    <t> -0.016 </t>
  </si>
  <si>
    <t>2444749.498 </t>
  </si>
  <si>
    <t> 24.05.1981 23:57 </t>
  </si>
  <si>
    <t> 0.000 </t>
  </si>
  <si>
    <t>2444925.259 </t>
  </si>
  <si>
    <t> 16.11.1981 18:12 </t>
  </si>
  <si>
    <t> 0.024 </t>
  </si>
  <si>
    <t>2445001.654 </t>
  </si>
  <si>
    <t> 01.02.1982 03:41 </t>
  </si>
  <si>
    <t> 0.011 </t>
  </si>
  <si>
    <t> P.Enskonatus </t>
  </si>
  <si>
    <t> MVS 9.163 </t>
  </si>
  <si>
    <t>2445259.449 </t>
  </si>
  <si>
    <t> 16.10.1982 22:46 </t>
  </si>
  <si>
    <t> 0.015 </t>
  </si>
  <si>
    <t> MVS 10.42 </t>
  </si>
  <si>
    <t>2445261.420 </t>
  </si>
  <si>
    <t> 18.10.1982 22:04 </t>
  </si>
  <si>
    <t> -0.009 </t>
  </si>
  <si>
    <t>2445406.605 </t>
  </si>
  <si>
    <t> 13.03.1983 02:31 </t>
  </si>
  <si>
    <t>2445689.306 </t>
  </si>
  <si>
    <t> 20.12.1983 19:20 </t>
  </si>
  <si>
    <t> -0.005 </t>
  </si>
  <si>
    <t> MVS 10.104 </t>
  </si>
  <si>
    <t>2445834.481 </t>
  </si>
  <si>
    <t> 13.05.1984 23:32 </t>
  </si>
  <si>
    <t> VSSC 61.17 </t>
  </si>
  <si>
    <t>2446023.566 </t>
  </si>
  <si>
    <t> 19.11.1984 01:35 </t>
  </si>
  <si>
    <t> 0.056 </t>
  </si>
  <si>
    <t> MVS 11.19 </t>
  </si>
  <si>
    <t>2446094.258 </t>
  </si>
  <si>
    <t> 28.01.1985 18:11 </t>
  </si>
  <si>
    <t> -0.014 </t>
  </si>
  <si>
    <t> VSSC 64.23 </t>
  </si>
  <si>
    <t>2446216.517 </t>
  </si>
  <si>
    <t> 31.05.1985 00:24 </t>
  </si>
  <si>
    <t> -0.007 </t>
  </si>
  <si>
    <t>2446247.090 </t>
  </si>
  <si>
    <t> 30.06.1985 14:09 </t>
  </si>
  <si>
    <t> 0.003 </t>
  </si>
  <si>
    <t>2446346.421 </t>
  </si>
  <si>
    <t> 07.10.1985 22:06 </t>
  </si>
  <si>
    <t> 0.004 </t>
  </si>
  <si>
    <t> J.Schmidt </t>
  </si>
  <si>
    <t>BAVM 43 </t>
  </si>
  <si>
    <t>2446644.416 </t>
  </si>
  <si>
    <t> 01.08.1986 21:59 </t>
  </si>
  <si>
    <t> 0.009 </t>
  </si>
  <si>
    <t> H.Duncan </t>
  </si>
  <si>
    <t> VSSC 67.9 </t>
  </si>
  <si>
    <t>2446667.335 </t>
  </si>
  <si>
    <t> 24.08.1986 20:02 </t>
  </si>
  <si>
    <t> 0.006 </t>
  </si>
  <si>
    <t>2446751.365 </t>
  </si>
  <si>
    <t> 16.11.1986 20:45 </t>
  </si>
  <si>
    <t> -0.012 </t>
  </si>
  <si>
    <t> G.Kirby </t>
  </si>
  <si>
    <t>2447003.538 </t>
  </si>
  <si>
    <t> 27.07.1987 00:54 </t>
  </si>
  <si>
    <t> 0.016 </t>
  </si>
  <si>
    <t> M.Martignoni </t>
  </si>
  <si>
    <t> BBS 109 </t>
  </si>
  <si>
    <t>2447026.449 </t>
  </si>
  <si>
    <t> 18.08.1987 22:46 </t>
  </si>
  <si>
    <t>2447085.5910 </t>
  </si>
  <si>
    <t> 17.10.1987 02:11 </t>
  </si>
  <si>
    <t> 0.0152 </t>
  </si>
  <si>
    <t> J.Burns et al. </t>
  </si>
  <si>
    <t>IBVS 4363 </t>
  </si>
  <si>
    <t>2447087.5669 </t>
  </si>
  <si>
    <t> 19.10.1987 01:36 </t>
  </si>
  <si>
    <t> -0.0039 </t>
  </si>
  <si>
    <t>2447408.4784 </t>
  </si>
  <si>
    <t> 03.09.1988 23:28 </t>
  </si>
  <si>
    <t> -0.0044 </t>
  </si>
  <si>
    <t> J.Ells </t>
  </si>
  <si>
    <t> VSSC 72.26 </t>
  </si>
  <si>
    <t>2447790.5160 </t>
  </si>
  <si>
    <t> 21.09.1989 00:23 </t>
  </si>
  <si>
    <t> -0.0048 </t>
  </si>
  <si>
    <t> VSSC 73 </t>
  </si>
  <si>
    <t>2448019.7380 </t>
  </si>
  <si>
    <t> 08.05.1990 05:42 </t>
  </si>
  <si>
    <t> -0.0057 </t>
  </si>
  <si>
    <t> Caton &amp; Burns </t>
  </si>
  <si>
    <t>IBVS 3900 </t>
  </si>
  <si>
    <t>2448409.4175 </t>
  </si>
  <si>
    <t> 01.06.1991 22:01 </t>
  </si>
  <si>
    <t> -0.0050 </t>
  </si>
  <si>
    <t> T.Hegedüs </t>
  </si>
  <si>
    <t>IBVS 4340 </t>
  </si>
  <si>
    <t>2448409.4176 </t>
  </si>
  <si>
    <t> -0.0049 </t>
  </si>
  <si>
    <t>G</t>
  </si>
  <si>
    <t>2448409.4184 </t>
  </si>
  <si>
    <t> 01.06.1991 22:02 </t>
  </si>
  <si>
    <t> -0.0041 </t>
  </si>
  <si>
    <t> W.Quester </t>
  </si>
  <si>
    <t>BAVM 59 </t>
  </si>
  <si>
    <t>2448430.3590 </t>
  </si>
  <si>
    <t> 22.06.1991 20:36 </t>
  </si>
  <si>
    <t> 0.0092 </t>
  </si>
  <si>
    <t>2448537.2846 </t>
  </si>
  <si>
    <t> 07.10.1991 18:49 </t>
  </si>
  <si>
    <t> -0.0359 </t>
  </si>
  <si>
    <t>2448537.2885 </t>
  </si>
  <si>
    <t> 07.10.1991 18:55 </t>
  </si>
  <si>
    <t> -0.0320 </t>
  </si>
  <si>
    <t>2448539.3118 </t>
  </si>
  <si>
    <t> 09.10.1991 19:28 </t>
  </si>
  <si>
    <t> -0.0037 </t>
  </si>
  <si>
    <t> R.Diethelm </t>
  </si>
  <si>
    <t> BBS 99 </t>
  </si>
  <si>
    <t>2449234.6144 </t>
  </si>
  <si>
    <t> 04.09.1993 02:44 </t>
  </si>
  <si>
    <t> -0.0103 </t>
  </si>
  <si>
    <t> G.W.Fox </t>
  </si>
  <si>
    <t>IBVS 4009 </t>
  </si>
  <si>
    <t>2451427.513 </t>
  </si>
  <si>
    <t> 06.09.1999 00:18 </t>
  </si>
  <si>
    <t> -0.010 </t>
  </si>
  <si>
    <t> K.Tikkanen </t>
  </si>
  <si>
    <t> BBS 122 </t>
  </si>
  <si>
    <t>2451664.369 </t>
  </si>
  <si>
    <t> 29.04.2000 20:51 </t>
  </si>
  <si>
    <t> -0.018 </t>
  </si>
  <si>
    <t> BBS 124 </t>
  </si>
  <si>
    <t>2451771.3441 </t>
  </si>
  <si>
    <t> 14.08.2000 20:15 </t>
  </si>
  <si>
    <t> -0.0134 </t>
  </si>
  <si>
    <t> A.Dariush et al. </t>
  </si>
  <si>
    <t>IBVS 5136 </t>
  </si>
  <si>
    <t>2451792.2864 </t>
  </si>
  <si>
    <t> 04.09.2000 18:52 </t>
  </si>
  <si>
    <t> 0.0016 </t>
  </si>
  <si>
    <t>2453618.42104 </t>
  </si>
  <si>
    <t> 04.09.2005 22:06 </t>
  </si>
  <si>
    <t> -0.00568 </t>
  </si>
  <si>
    <t>C </t>
  </si>
  <si>
    <t>R</t>
  </si>
  <si>
    <t> L.Brát </t>
  </si>
  <si>
    <t>OEJV 0074 </t>
  </si>
  <si>
    <t>2453620.40992 </t>
  </si>
  <si>
    <t> 06.09.2005 21:50 </t>
  </si>
  <si>
    <t> -0.01180 </t>
  </si>
  <si>
    <t>2455064.5090 </t>
  </si>
  <si>
    <t> 21.08.2009 00:12 </t>
  </si>
  <si>
    <t> -0.0166 </t>
  </si>
  <si>
    <t> M.,Mašek </t>
  </si>
  <si>
    <t>OEJV 0137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</si>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</sst>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5" fillId="24" borderId="21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 wrapText="1"/>
    </xf>
    <xf numFmtId="0" fontId="33" fillId="0" borderId="0" xfId="43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V1143 Cyg - O-C Diagr.</a:t>
            </a:r>
          </a:p>
        </c:rich>
      </c:tx>
      <c:layout>
        <c:manualLayout>
          <c:xMode val="edge"/>
          <c:yMode val="edge"/>
          <c:x val="0.362654807038009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4340058262289"/>
          <c:y val="0.14723926380368099"/>
          <c:w val="0.8271617403937301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3">
                  <c:v>3.1340000059572048E-3</c:v>
                </c:pt>
                <c:pt idx="5">
                  <c:v>3.0433000065386295E-3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B-49C4-A4C5-F213E214EC5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  <c:pt idx="59">
                    <c:v>2.9999999999999997E-4</c:v>
                  </c:pt>
                  <c:pt idx="60">
                    <c:v>7.4000000000000003E-3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  <c:pt idx="59">
                    <c:v>2.9999999999999997E-4</c:v>
                  </c:pt>
                  <c:pt idx="60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0">
                  <c:v>1.8758783500015852</c:v>
                </c:pt>
                <c:pt idx="4">
                  <c:v>3.2340000034309924E-3</c:v>
                </c:pt>
                <c:pt idx="6">
                  <c:v>5.0879000045824796E-3</c:v>
                </c:pt>
                <c:pt idx="8">
                  <c:v>1.8449317500053439</c:v>
                </c:pt>
                <c:pt idx="9">
                  <c:v>1.5511000019614585E-3</c:v>
                </c:pt>
                <c:pt idx="10">
                  <c:v>1.8650150500034215</c:v>
                </c:pt>
                <c:pt idx="12">
                  <c:v>-2.5056299993593711E-2</c:v>
                </c:pt>
                <c:pt idx="13">
                  <c:v>1.3336300005903468E-2</c:v>
                </c:pt>
                <c:pt idx="14">
                  <c:v>1.8137000006390736E-3</c:v>
                </c:pt>
                <c:pt idx="15">
                  <c:v>-1.5754099993500859E-2</c:v>
                </c:pt>
                <c:pt idx="16">
                  <c:v>1.4840000221738592E-4</c:v>
                </c:pt>
                <c:pt idx="17">
                  <c:v>2.3638500002562068E-2</c:v>
                </c:pt>
                <c:pt idx="18">
                  <c:v>1.1025500003597699E-2</c:v>
                </c:pt>
                <c:pt idx="19">
                  <c:v>1.8405219500054955</c:v>
                </c:pt>
                <c:pt idx="20">
                  <c:v>-8.8586999991093762E-3</c:v>
                </c:pt>
                <c:pt idx="21">
                  <c:v>1.676600004429929E-3</c:v>
                </c:pt>
                <c:pt idx="22">
                  <c:v>-5.491500000061933E-3</c:v>
                </c:pt>
                <c:pt idx="23">
                  <c:v>-4.9561999985598959E-3</c:v>
                </c:pt>
                <c:pt idx="24">
                  <c:v>1.8813919500025804</c:v>
                </c:pt>
                <c:pt idx="25">
                  <c:v>-1.3840399995387997E-2</c:v>
                </c:pt>
                <c:pt idx="26">
                  <c:v>-7.0211999991443008E-3</c:v>
                </c:pt>
                <c:pt idx="27">
                  <c:v>2.9336000006878749E-3</c:v>
                </c:pt>
                <c:pt idx="28">
                  <c:v>4.0367000037804246E-3</c:v>
                </c:pt>
                <c:pt idx="29">
                  <c:v>9.3459999989136122E-3</c:v>
                </c:pt>
                <c:pt idx="30">
                  <c:v>6.0621000011451542E-3</c:v>
                </c:pt>
                <c:pt idx="31">
                  <c:v>-1.2312200000451412E-2</c:v>
                </c:pt>
                <c:pt idx="32">
                  <c:v>1.5564900000754278E-2</c:v>
                </c:pt>
                <c:pt idx="33">
                  <c:v>4.2810000013560057E-3</c:v>
                </c:pt>
                <c:pt idx="37">
                  <c:v>-4.8489999899175018E-3</c:v>
                </c:pt>
                <c:pt idx="48">
                  <c:v>-1.0227799997664988E-2</c:v>
                </c:pt>
                <c:pt idx="49">
                  <c:v>-1.7828099997132085E-2</c:v>
                </c:pt>
                <c:pt idx="60">
                  <c:v>1.8067091499979142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B-49C4-A4C5-F213E214EC5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">
                  <c:v>1.8780105500045465</c:v>
                </c:pt>
                <c:pt idx="2">
                  <c:v>4.681000005803071E-3</c:v>
                </c:pt>
                <c:pt idx="11">
                  <c:v>3.3410000469302759E-4</c:v>
                </c:pt>
                <c:pt idx="34">
                  <c:v>1.8405712500025402</c:v>
                </c:pt>
                <c:pt idx="35">
                  <c:v>-3.9094000021577813E-3</c:v>
                </c:pt>
                <c:pt idx="36">
                  <c:v>-4.3839999998454005E-3</c:v>
                </c:pt>
                <c:pt idx="38">
                  <c:v>-5.6879999974626116E-3</c:v>
                </c:pt>
                <c:pt idx="39">
                  <c:v>-5.0142999898525886E-3</c:v>
                </c:pt>
                <c:pt idx="40">
                  <c:v>-4.9142999923788011E-3</c:v>
                </c:pt>
                <c:pt idx="41">
                  <c:v>-4.0142999932868406E-3</c:v>
                </c:pt>
                <c:pt idx="42">
                  <c:v>1.8345824499992887</c:v>
                </c:pt>
                <c:pt idx="43">
                  <c:v>1.7895242500017048</c:v>
                </c:pt>
                <c:pt idx="44">
                  <c:v>1.7934242500050459</c:v>
                </c:pt>
                <c:pt idx="45">
                  <c:v>-3.6563999965437688E-3</c:v>
                </c:pt>
                <c:pt idx="46">
                  <c:v>-1.0334699996747077E-2</c:v>
                </c:pt>
                <c:pt idx="47">
                  <c:v>-1.2886399999842979E-2</c:v>
                </c:pt>
                <c:pt idx="50">
                  <c:v>-1.3386299993726425E-2</c:v>
                </c:pt>
                <c:pt idx="51">
                  <c:v>1.827010449997033</c:v>
                </c:pt>
                <c:pt idx="52">
                  <c:v>1.8270604499994079</c:v>
                </c:pt>
                <c:pt idx="53">
                  <c:v>1.8173047500094981</c:v>
                </c:pt>
                <c:pt idx="54">
                  <c:v>-1.3095899994368665E-2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B-49C4-A4C5-F213E214EC5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55">
                  <c:v>1.819699750005384</c:v>
                </c:pt>
                <c:pt idx="56">
                  <c:v>-1.1800899999798276E-2</c:v>
                </c:pt>
                <c:pt idx="57">
                  <c:v>-1.6586600002483465E-2</c:v>
                </c:pt>
                <c:pt idx="58">
                  <c:v>1.7938970500035794</c:v>
                </c:pt>
                <c:pt idx="59">
                  <c:v>-1.9614699995145202E-2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B-49C4-A4C5-F213E214EC5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B-49C4-A4C5-F213E214EC5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B-49C4-A4C5-F213E214EC5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plus>
            <c:minus>
              <c:numRef>
                <c:f>'Active 1'!$D$21:$D$79</c:f>
                <c:numCache>
                  <c:formatCode>General</c:formatCode>
                  <c:ptCount val="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B-49C4-A4C5-F213E214EC5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7.5394731791577369E-3</c:v>
                </c:pt>
                <c:pt idx="1">
                  <c:v>7.4762510927997277E-3</c:v>
                </c:pt>
                <c:pt idx="2">
                  <c:v>6.9125208227741441E-3</c:v>
                </c:pt>
                <c:pt idx="3">
                  <c:v>4.910488088103849E-3</c:v>
                </c:pt>
                <c:pt idx="4">
                  <c:v>4.910488088103849E-3</c:v>
                </c:pt>
                <c:pt idx="5">
                  <c:v>4.4995445267767883E-3</c:v>
                </c:pt>
                <c:pt idx="6">
                  <c:v>3.8883976919826986E-3</c:v>
                </c:pt>
                <c:pt idx="7">
                  <c:v>3.0138254973635695E-3</c:v>
                </c:pt>
                <c:pt idx="8">
                  <c:v>2.460632241730988E-3</c:v>
                </c:pt>
                <c:pt idx="9">
                  <c:v>2.4553637345344874E-3</c:v>
                </c:pt>
                <c:pt idx="10">
                  <c:v>1.8389483925438962E-3</c:v>
                </c:pt>
                <c:pt idx="11">
                  <c:v>1.5070324391643474E-3</c:v>
                </c:pt>
                <c:pt idx="12">
                  <c:v>1.4227363240203348E-3</c:v>
                </c:pt>
                <c:pt idx="13">
                  <c:v>3.9010891350618271E-4</c:v>
                </c:pt>
                <c:pt idx="14">
                  <c:v>3.6903488472017978E-4</c:v>
                </c:pt>
                <c:pt idx="15">
                  <c:v>3.0581279836217013E-4</c:v>
                </c:pt>
                <c:pt idx="16">
                  <c:v>-4.8446328111294637E-4</c:v>
                </c:pt>
                <c:pt idx="17">
                  <c:v>-7.2681461215198199E-4</c:v>
                </c:pt>
                <c:pt idx="18">
                  <c:v>-8.3218475608199749E-4</c:v>
                </c:pt>
                <c:pt idx="19">
                  <c:v>-1.1851747382475492E-3</c:v>
                </c:pt>
                <c:pt idx="20">
                  <c:v>-1.1904432454440503E-3</c:v>
                </c:pt>
                <c:pt idx="21">
                  <c:v>-1.3906465189110801E-3</c:v>
                </c:pt>
                <c:pt idx="22">
                  <c:v>-1.7805160514521375E-3</c:v>
                </c:pt>
                <c:pt idx="23">
                  <c:v>-1.9807193249191672E-3</c:v>
                </c:pt>
                <c:pt idx="24">
                  <c:v>-2.2388761775477052E-3</c:v>
                </c:pt>
                <c:pt idx="25">
                  <c:v>-2.33897781428122E-3</c:v>
                </c:pt>
                <c:pt idx="26">
                  <c:v>-2.5075700445692443E-3</c:v>
                </c:pt>
                <c:pt idx="27">
                  <c:v>-2.549718102141251E-3</c:v>
                </c:pt>
                <c:pt idx="28">
                  <c:v>-2.6866992892502707E-3</c:v>
                </c:pt>
                <c:pt idx="29">
                  <c:v>-3.0976428505773315E-3</c:v>
                </c:pt>
                <c:pt idx="30">
                  <c:v>-3.1292538937563361E-3</c:v>
                </c:pt>
                <c:pt idx="31">
                  <c:v>-3.2451610520793533E-3</c:v>
                </c:pt>
                <c:pt idx="32">
                  <c:v>-3.5928825270484049E-3</c:v>
                </c:pt>
                <c:pt idx="33">
                  <c:v>-3.6244935702274095E-3</c:v>
                </c:pt>
                <c:pt idx="34">
                  <c:v>-3.703521178174921E-3</c:v>
                </c:pt>
                <c:pt idx="35">
                  <c:v>-3.708789685371422E-3</c:v>
                </c:pt>
                <c:pt idx="36">
                  <c:v>-4.1513442898774861E-3</c:v>
                </c:pt>
                <c:pt idx="37">
                  <c:v>-4.6781950095275641E-3</c:v>
                </c:pt>
                <c:pt idx="38">
                  <c:v>-4.9943054413176102E-3</c:v>
                </c:pt>
                <c:pt idx="39">
                  <c:v>-5.5316931753606902E-3</c:v>
                </c:pt>
                <c:pt idx="40">
                  <c:v>-5.5316931753606902E-3</c:v>
                </c:pt>
                <c:pt idx="41">
                  <c:v>-5.5316931753606902E-3</c:v>
                </c:pt>
                <c:pt idx="42">
                  <c:v>-5.5580357113431938E-3</c:v>
                </c:pt>
                <c:pt idx="43">
                  <c:v>-5.7055539128452164E-3</c:v>
                </c:pt>
                <c:pt idx="44">
                  <c:v>-5.7055539128452164E-3</c:v>
                </c:pt>
                <c:pt idx="45">
                  <c:v>-5.7108224200417158E-3</c:v>
                </c:pt>
                <c:pt idx="46">
                  <c:v>-6.6696907298048579E-3</c:v>
                </c:pt>
                <c:pt idx="47">
                  <c:v>-6.7645238593418717E-3</c:v>
                </c:pt>
                <c:pt idx="48">
                  <c:v>-9.6938138605963033E-3</c:v>
                </c:pt>
                <c:pt idx="49">
                  <c:v>-1.0020461306779352E-2</c:v>
                </c:pt>
                <c:pt idx="50">
                  <c:v>-1.0167979508281374E-2</c:v>
                </c:pt>
                <c:pt idx="51">
                  <c:v>-1.0194322044263878E-2</c:v>
                </c:pt>
                <c:pt idx="52">
                  <c:v>-1.0194322044263878E-2</c:v>
                </c:pt>
                <c:pt idx="53">
                  <c:v>-1.1132116325241016E-2</c:v>
                </c:pt>
                <c:pt idx="54">
                  <c:v>-1.1137384832437517E-2</c:v>
                </c:pt>
                <c:pt idx="55">
                  <c:v>-1.2712668484191248E-2</c:v>
                </c:pt>
                <c:pt idx="56">
                  <c:v>-1.2717936991387751E-2</c:v>
                </c:pt>
                <c:pt idx="57">
                  <c:v>-1.4709432711665043E-2</c:v>
                </c:pt>
                <c:pt idx="58">
                  <c:v>-1.7759898378438995E-2</c:v>
                </c:pt>
                <c:pt idx="59">
                  <c:v>-1.8260406562106569E-2</c:v>
                </c:pt>
                <c:pt idx="60">
                  <c:v>-1.8634470573058122E-2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B-49C4-A4C5-F213E214EC5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1'!$P$21:$P$979</c:f>
              <c:numCache>
                <c:formatCode>General</c:formatCode>
                <c:ptCount val="959"/>
                <c:pt idx="0">
                  <c:v>1.8713145741654533</c:v>
                </c:pt>
                <c:pt idx="1">
                  <c:v>1.8711287810428381</c:v>
                </c:pt>
                <c:pt idx="2">
                  <c:v>1.8694721256995193</c:v>
                </c:pt>
                <c:pt idx="3">
                  <c:v>1.8635886768167051</c:v>
                </c:pt>
                <c:pt idx="4">
                  <c:v>1.8635886768167051</c:v>
                </c:pt>
                <c:pt idx="5">
                  <c:v>1.8623810215197065</c:v>
                </c:pt>
                <c:pt idx="6">
                  <c:v>1.8605850213344264</c:v>
                </c:pt>
                <c:pt idx="7">
                  <c:v>1.8580148831382497</c:v>
                </c:pt>
                <c:pt idx="8">
                  <c:v>1.8563891933153669</c:v>
                </c:pt>
                <c:pt idx="9">
                  <c:v>1.856373710555149</c:v>
                </c:pt>
                <c:pt idx="10">
                  <c:v>1.8545622276096509</c:v>
                </c:pt>
                <c:pt idx="11">
                  <c:v>1.8535868137159213</c:v>
                </c:pt>
                <c:pt idx="12">
                  <c:v>1.8533390895524342</c:v>
                </c:pt>
                <c:pt idx="13">
                  <c:v>1.8503044685497196</c:v>
                </c:pt>
                <c:pt idx="14">
                  <c:v>1.8502425375088478</c:v>
                </c:pt>
                <c:pt idx="15">
                  <c:v>1.8500567443862326</c:v>
                </c:pt>
                <c:pt idx="16">
                  <c:v>1.847734330353543</c:v>
                </c:pt>
                <c:pt idx="17">
                  <c:v>1.847022123383518</c:v>
                </c:pt>
                <c:pt idx="18">
                  <c:v>1.8467124681791593</c:v>
                </c:pt>
                <c:pt idx="19">
                  <c:v>1.8456751232445578</c:v>
                </c:pt>
                <c:pt idx="20">
                  <c:v>1.8456596404843399</c:v>
                </c:pt>
                <c:pt idx="21">
                  <c:v>1.8450712955960586</c:v>
                </c:pt>
                <c:pt idx="22">
                  <c:v>1.8439255713399316</c:v>
                </c:pt>
                <c:pt idx="23">
                  <c:v>1.8433372264516501</c:v>
                </c:pt>
                <c:pt idx="24">
                  <c:v>1.8425785712009715</c:v>
                </c:pt>
                <c:pt idx="25">
                  <c:v>1.8422843987568309</c:v>
                </c:pt>
                <c:pt idx="26">
                  <c:v>1.841788950429857</c:v>
                </c:pt>
                <c:pt idx="27">
                  <c:v>1.8416650883481136</c:v>
                </c:pt>
                <c:pt idx="28">
                  <c:v>1.8412625365824473</c:v>
                </c:pt>
                <c:pt idx="29">
                  <c:v>1.8400548812854487</c:v>
                </c:pt>
                <c:pt idx="30">
                  <c:v>1.8399619847241411</c:v>
                </c:pt>
                <c:pt idx="31">
                  <c:v>1.8396213639993466</c:v>
                </c:pt>
                <c:pt idx="32">
                  <c:v>1.838599501824963</c:v>
                </c:pt>
                <c:pt idx="33">
                  <c:v>1.8385066052636554</c:v>
                </c:pt>
                <c:pt idx="34">
                  <c:v>1.8382743638603865</c:v>
                </c:pt>
                <c:pt idx="35">
                  <c:v>1.8382588811001686</c:v>
                </c:pt>
                <c:pt idx="36">
                  <c:v>1.8369583292418623</c:v>
                </c:pt>
                <c:pt idx="37">
                  <c:v>1.835410053220069</c:v>
                </c:pt>
                <c:pt idx="38">
                  <c:v>1.834481087606993</c:v>
                </c:pt>
                <c:pt idx="39">
                  <c:v>1.8329018460647641</c:v>
                </c:pt>
                <c:pt idx="40">
                  <c:v>1.8329018460647641</c:v>
                </c:pt>
                <c:pt idx="41">
                  <c:v>1.8329018460647641</c:v>
                </c:pt>
                <c:pt idx="42">
                  <c:v>1.8328244322636744</c:v>
                </c:pt>
                <c:pt idx="43">
                  <c:v>1.8323909149775723</c:v>
                </c:pt>
                <c:pt idx="44">
                  <c:v>1.8323909149775723</c:v>
                </c:pt>
                <c:pt idx="45">
                  <c:v>1.8323754322173544</c:v>
                </c:pt>
                <c:pt idx="46">
                  <c:v>1.8295575698576907</c:v>
                </c:pt>
                <c:pt idx="47">
                  <c:v>1.8292788801737681</c:v>
                </c:pt>
                <c:pt idx="48">
                  <c:v>1.8206704654925978</c:v>
                </c:pt>
                <c:pt idx="49">
                  <c:v>1.819710534359086</c:v>
                </c:pt>
                <c:pt idx="50">
                  <c:v>1.8192770170729839</c:v>
                </c:pt>
                <c:pt idx="51">
                  <c:v>1.8191996032718942</c:v>
                </c:pt>
                <c:pt idx="52">
                  <c:v>1.8191996032718942</c:v>
                </c:pt>
                <c:pt idx="53">
                  <c:v>1.8164436719531023</c:v>
                </c:pt>
                <c:pt idx="54">
                  <c:v>1.8164281891928844</c:v>
                </c:pt>
                <c:pt idx="55">
                  <c:v>1.8117988438877228</c:v>
                </c:pt>
                <c:pt idx="56">
                  <c:v>1.8117833611275049</c:v>
                </c:pt>
                <c:pt idx="57">
                  <c:v>1.8059308777651266</c:v>
                </c:pt>
                <c:pt idx="58">
                  <c:v>1.796966359598944</c:v>
                </c:pt>
                <c:pt idx="59">
                  <c:v>1.7954954973782404</c:v>
                </c:pt>
                <c:pt idx="60">
                  <c:v>1.7943962214027673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AB-49C4-A4C5-F213E214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3032"/>
        <c:axId val="1"/>
      </c:scatterChart>
      <c:valAx>
        <c:axId val="8560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625384789864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699070023652"/>
          <c:y val="0.92024539877300615"/>
          <c:w val="0.760803603253297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V1143 Cyg - Secondary O-C Diagr.</a:t>
            </a:r>
          </a:p>
        </c:rich>
      </c:tx>
      <c:layout>
        <c:manualLayout>
          <c:xMode val="edge"/>
          <c:yMode val="edge"/>
          <c:x val="0.226337880604430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938426204078"/>
          <c:y val="0.14634168126798494"/>
          <c:w val="0.77366410603159164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  <c:pt idx="59">
                    <c:v>2.9999999999999997E-4</c:v>
                  </c:pt>
                  <c:pt idx="60">
                    <c:v>7.4000000000000003E-3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5.0000000000000001E-4</c:v>
                  </c:pt>
                  <c:pt idx="7">
                    <c:v>0</c:v>
                  </c:pt>
                  <c:pt idx="12">
                    <c:v>0</c:v>
                  </c:pt>
                  <c:pt idx="30">
                    <c:v>0</c:v>
                  </c:pt>
                  <c:pt idx="32">
                    <c:v>1.6E-2</c:v>
                  </c:pt>
                  <c:pt idx="33">
                    <c:v>1.9E-2</c:v>
                  </c:pt>
                  <c:pt idx="37">
                    <c:v>0</c:v>
                  </c:pt>
                  <c:pt idx="38">
                    <c:v>1.1E-4</c:v>
                  </c:pt>
                  <c:pt idx="45">
                    <c:v>1E-3</c:v>
                  </c:pt>
                  <c:pt idx="46">
                    <c:v>5.9999999999999995E-4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6.6E-4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3.82E-3</c:v>
                  </c:pt>
                  <c:pt idx="54">
                    <c:v>8.9999999999999998E-4</c:v>
                  </c:pt>
                  <c:pt idx="55">
                    <c:v>4.0000000000000002E-4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1.9E-3</c:v>
                  </c:pt>
                  <c:pt idx="59">
                    <c:v>2.9999999999999997E-4</c:v>
                  </c:pt>
                  <c:pt idx="60">
                    <c:v>7.4000000000000003E-3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1'!$S$21:$S$979</c:f>
              <c:numCache>
                <c:formatCode>General</c:formatCode>
                <c:ptCount val="959"/>
                <c:pt idx="0">
                  <c:v>1.8758783500015852</c:v>
                </c:pt>
                <c:pt idx="1">
                  <c:v>1.8780105500045465</c:v>
                </c:pt>
                <c:pt idx="8">
                  <c:v>1.8449317500053439</c:v>
                </c:pt>
                <c:pt idx="10">
                  <c:v>1.8650150500034215</c:v>
                </c:pt>
                <c:pt idx="19">
                  <c:v>1.8405219500054955</c:v>
                </c:pt>
                <c:pt idx="24">
                  <c:v>1.8813919500025804</c:v>
                </c:pt>
                <c:pt idx="34">
                  <c:v>1.8405712500025402</c:v>
                </c:pt>
                <c:pt idx="42">
                  <c:v>1.8345824499992887</c:v>
                </c:pt>
                <c:pt idx="43">
                  <c:v>1.7895242500017048</c:v>
                </c:pt>
                <c:pt idx="44">
                  <c:v>1.7934242500050459</c:v>
                </c:pt>
                <c:pt idx="51">
                  <c:v>1.827010449997033</c:v>
                </c:pt>
                <c:pt idx="52">
                  <c:v>1.8270604499994079</c:v>
                </c:pt>
                <c:pt idx="53">
                  <c:v>1.8173047500094981</c:v>
                </c:pt>
                <c:pt idx="55">
                  <c:v>1.819699750005384</c:v>
                </c:pt>
                <c:pt idx="58">
                  <c:v>1.7938970500035794</c:v>
                </c:pt>
                <c:pt idx="60">
                  <c:v>1.8067091499979142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A-43BB-A81E-261906E1392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1'!$P$21:$P$979</c:f>
              <c:numCache>
                <c:formatCode>General</c:formatCode>
                <c:ptCount val="959"/>
                <c:pt idx="0">
                  <c:v>1.8713145741654533</c:v>
                </c:pt>
                <c:pt idx="1">
                  <c:v>1.8711287810428381</c:v>
                </c:pt>
                <c:pt idx="2">
                  <c:v>1.8694721256995193</c:v>
                </c:pt>
                <c:pt idx="3">
                  <c:v>1.8635886768167051</c:v>
                </c:pt>
                <c:pt idx="4">
                  <c:v>1.8635886768167051</c:v>
                </c:pt>
                <c:pt idx="5">
                  <c:v>1.8623810215197065</c:v>
                </c:pt>
                <c:pt idx="6">
                  <c:v>1.8605850213344264</c:v>
                </c:pt>
                <c:pt idx="7">
                  <c:v>1.8580148831382497</c:v>
                </c:pt>
                <c:pt idx="8">
                  <c:v>1.8563891933153669</c:v>
                </c:pt>
                <c:pt idx="9">
                  <c:v>1.856373710555149</c:v>
                </c:pt>
                <c:pt idx="10">
                  <c:v>1.8545622276096509</c:v>
                </c:pt>
                <c:pt idx="11">
                  <c:v>1.8535868137159213</c:v>
                </c:pt>
                <c:pt idx="12">
                  <c:v>1.8533390895524342</c:v>
                </c:pt>
                <c:pt idx="13">
                  <c:v>1.8503044685497196</c:v>
                </c:pt>
                <c:pt idx="14">
                  <c:v>1.8502425375088478</c:v>
                </c:pt>
                <c:pt idx="15">
                  <c:v>1.8500567443862326</c:v>
                </c:pt>
                <c:pt idx="16">
                  <c:v>1.847734330353543</c:v>
                </c:pt>
                <c:pt idx="17">
                  <c:v>1.847022123383518</c:v>
                </c:pt>
                <c:pt idx="18">
                  <c:v>1.8467124681791593</c:v>
                </c:pt>
                <c:pt idx="19">
                  <c:v>1.8456751232445578</c:v>
                </c:pt>
                <c:pt idx="20">
                  <c:v>1.8456596404843399</c:v>
                </c:pt>
                <c:pt idx="21">
                  <c:v>1.8450712955960586</c:v>
                </c:pt>
                <c:pt idx="22">
                  <c:v>1.8439255713399316</c:v>
                </c:pt>
                <c:pt idx="23">
                  <c:v>1.8433372264516501</c:v>
                </c:pt>
                <c:pt idx="24">
                  <c:v>1.8425785712009715</c:v>
                </c:pt>
                <c:pt idx="25">
                  <c:v>1.8422843987568309</c:v>
                </c:pt>
                <c:pt idx="26">
                  <c:v>1.841788950429857</c:v>
                </c:pt>
                <c:pt idx="27">
                  <c:v>1.8416650883481136</c:v>
                </c:pt>
                <c:pt idx="28">
                  <c:v>1.8412625365824473</c:v>
                </c:pt>
                <c:pt idx="29">
                  <c:v>1.8400548812854487</c:v>
                </c:pt>
                <c:pt idx="30">
                  <c:v>1.8399619847241411</c:v>
                </c:pt>
                <c:pt idx="31">
                  <c:v>1.8396213639993466</c:v>
                </c:pt>
                <c:pt idx="32">
                  <c:v>1.838599501824963</c:v>
                </c:pt>
                <c:pt idx="33">
                  <c:v>1.8385066052636554</c:v>
                </c:pt>
                <c:pt idx="34">
                  <c:v>1.8382743638603865</c:v>
                </c:pt>
                <c:pt idx="35">
                  <c:v>1.8382588811001686</c:v>
                </c:pt>
                <c:pt idx="36">
                  <c:v>1.8369583292418623</c:v>
                </c:pt>
                <c:pt idx="37">
                  <c:v>1.835410053220069</c:v>
                </c:pt>
                <c:pt idx="38">
                  <c:v>1.834481087606993</c:v>
                </c:pt>
                <c:pt idx="39">
                  <c:v>1.8329018460647641</c:v>
                </c:pt>
                <c:pt idx="40">
                  <c:v>1.8329018460647641</c:v>
                </c:pt>
                <c:pt idx="41">
                  <c:v>1.8329018460647641</c:v>
                </c:pt>
                <c:pt idx="42">
                  <c:v>1.8328244322636744</c:v>
                </c:pt>
                <c:pt idx="43">
                  <c:v>1.8323909149775723</c:v>
                </c:pt>
                <c:pt idx="44">
                  <c:v>1.8323909149775723</c:v>
                </c:pt>
                <c:pt idx="45">
                  <c:v>1.8323754322173544</c:v>
                </c:pt>
                <c:pt idx="46">
                  <c:v>1.8295575698576907</c:v>
                </c:pt>
                <c:pt idx="47">
                  <c:v>1.8292788801737681</c:v>
                </c:pt>
                <c:pt idx="48">
                  <c:v>1.8206704654925978</c:v>
                </c:pt>
                <c:pt idx="49">
                  <c:v>1.819710534359086</c:v>
                </c:pt>
                <c:pt idx="50">
                  <c:v>1.8192770170729839</c:v>
                </c:pt>
                <c:pt idx="51">
                  <c:v>1.8191996032718942</c:v>
                </c:pt>
                <c:pt idx="52">
                  <c:v>1.8191996032718942</c:v>
                </c:pt>
                <c:pt idx="53">
                  <c:v>1.8164436719531023</c:v>
                </c:pt>
                <c:pt idx="54">
                  <c:v>1.8164281891928844</c:v>
                </c:pt>
                <c:pt idx="55">
                  <c:v>1.8117988438877228</c:v>
                </c:pt>
                <c:pt idx="56">
                  <c:v>1.8117833611275049</c:v>
                </c:pt>
                <c:pt idx="57">
                  <c:v>1.8059308777651266</c:v>
                </c:pt>
                <c:pt idx="58">
                  <c:v>1.796966359598944</c:v>
                </c:pt>
                <c:pt idx="59">
                  <c:v>1.7954954973782404</c:v>
                </c:pt>
                <c:pt idx="60">
                  <c:v>1.7943962214027673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CA-43BB-A81E-261906E13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925256"/>
        <c:axId val="1"/>
      </c:scatterChart>
      <c:valAx>
        <c:axId val="84992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3482496786673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92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94736614713282"/>
          <c:y val="0.92073298764483702"/>
          <c:w val="0.3333339814004731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V1143 Cyg Prim  -- O-C Diagr.</a:t>
            </a:r>
          </a:p>
        </c:rich>
      </c:tx>
      <c:layout>
        <c:manualLayout>
          <c:xMode val="edge"/>
          <c:yMode val="edge"/>
          <c:x val="0.317525773195876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494845360824737"/>
          <c:h val="0.66055243140897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1'!$R$21:$R$979</c:f>
              <c:numCache>
                <c:formatCode>General</c:formatCode>
                <c:ptCount val="959"/>
                <c:pt idx="2">
                  <c:v>4.681000005803071E-3</c:v>
                </c:pt>
                <c:pt idx="3">
                  <c:v>3.1340000059572048E-3</c:v>
                </c:pt>
                <c:pt idx="4">
                  <c:v>3.2340000034309924E-3</c:v>
                </c:pt>
                <c:pt idx="5">
                  <c:v>3.0433000065386295E-3</c:v>
                </c:pt>
                <c:pt idx="6">
                  <c:v>5.0879000045824796E-3</c:v>
                </c:pt>
                <c:pt idx="7">
                  <c:v>0</c:v>
                </c:pt>
                <c:pt idx="9">
                  <c:v>1.5511000019614585E-3</c:v>
                </c:pt>
                <c:pt idx="11">
                  <c:v>3.3410000469302759E-4</c:v>
                </c:pt>
                <c:pt idx="12">
                  <c:v>-2.5056299993593711E-2</c:v>
                </c:pt>
                <c:pt idx="13">
                  <c:v>1.3336300005903468E-2</c:v>
                </c:pt>
                <c:pt idx="14">
                  <c:v>1.8137000006390736E-3</c:v>
                </c:pt>
                <c:pt idx="15">
                  <c:v>-1.5754099993500859E-2</c:v>
                </c:pt>
                <c:pt idx="16">
                  <c:v>1.4840000221738592E-4</c:v>
                </c:pt>
                <c:pt idx="17">
                  <c:v>2.3638500002562068E-2</c:v>
                </c:pt>
                <c:pt idx="18">
                  <c:v>1.1025500003597699E-2</c:v>
                </c:pt>
                <c:pt idx="20">
                  <c:v>-8.8586999991093762E-3</c:v>
                </c:pt>
                <c:pt idx="21">
                  <c:v>1.676600004429929E-3</c:v>
                </c:pt>
                <c:pt idx="22">
                  <c:v>-5.491500000061933E-3</c:v>
                </c:pt>
                <c:pt idx="23">
                  <c:v>-4.9561999985598959E-3</c:v>
                </c:pt>
                <c:pt idx="25">
                  <c:v>-1.3840399995387997E-2</c:v>
                </c:pt>
                <c:pt idx="26">
                  <c:v>-7.0211999991443008E-3</c:v>
                </c:pt>
                <c:pt idx="27">
                  <c:v>2.9336000006878749E-3</c:v>
                </c:pt>
                <c:pt idx="28">
                  <c:v>4.0367000037804246E-3</c:v>
                </c:pt>
                <c:pt idx="29">
                  <c:v>9.3459999989136122E-3</c:v>
                </c:pt>
                <c:pt idx="30">
                  <c:v>6.0621000011451542E-3</c:v>
                </c:pt>
                <c:pt idx="31">
                  <c:v>-1.2312200000451412E-2</c:v>
                </c:pt>
                <c:pt idx="32">
                  <c:v>1.5564900000754278E-2</c:v>
                </c:pt>
                <c:pt idx="33">
                  <c:v>4.2810000013560057E-3</c:v>
                </c:pt>
                <c:pt idx="35">
                  <c:v>-3.9094000021577813E-3</c:v>
                </c:pt>
                <c:pt idx="36">
                  <c:v>-4.3839999998454005E-3</c:v>
                </c:pt>
                <c:pt idx="37">
                  <c:v>-4.8489999899175018E-3</c:v>
                </c:pt>
                <c:pt idx="38">
                  <c:v>-5.6879999974626116E-3</c:v>
                </c:pt>
                <c:pt idx="39">
                  <c:v>-5.0142999898525886E-3</c:v>
                </c:pt>
                <c:pt idx="40">
                  <c:v>-4.9142999923788011E-3</c:v>
                </c:pt>
                <c:pt idx="41">
                  <c:v>-4.0142999932868406E-3</c:v>
                </c:pt>
                <c:pt idx="45">
                  <c:v>-3.6563999965437688E-3</c:v>
                </c:pt>
                <c:pt idx="46">
                  <c:v>-1.0334699996747077E-2</c:v>
                </c:pt>
                <c:pt idx="47">
                  <c:v>-1.2886399999842979E-2</c:v>
                </c:pt>
                <c:pt idx="48">
                  <c:v>-1.0227799997664988E-2</c:v>
                </c:pt>
                <c:pt idx="49">
                  <c:v>-1.7828099997132085E-2</c:v>
                </c:pt>
                <c:pt idx="50">
                  <c:v>-1.3386299993726425E-2</c:v>
                </c:pt>
                <c:pt idx="54">
                  <c:v>-1.3095899994368665E-2</c:v>
                </c:pt>
                <c:pt idx="56">
                  <c:v>-1.1800899999798276E-2</c:v>
                </c:pt>
                <c:pt idx="57">
                  <c:v>-1.6586600002483465E-2</c:v>
                </c:pt>
                <c:pt idx="59">
                  <c:v>-1.9614699995145202E-2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87-4537-B076-62DC8D9DF98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-429.5</c:v>
                </c:pt>
                <c:pt idx="1">
                  <c:v>-423.5</c:v>
                </c:pt>
                <c:pt idx="2">
                  <c:v>-370</c:v>
                </c:pt>
                <c:pt idx="3">
                  <c:v>-180</c:v>
                </c:pt>
                <c:pt idx="4">
                  <c:v>-180</c:v>
                </c:pt>
                <c:pt idx="5">
                  <c:v>-141</c:v>
                </c:pt>
                <c:pt idx="6">
                  <c:v>-83</c:v>
                </c:pt>
                <c:pt idx="7">
                  <c:v>0</c:v>
                </c:pt>
                <c:pt idx="8">
                  <c:v>52.5</c:v>
                </c:pt>
                <c:pt idx="9">
                  <c:v>53</c:v>
                </c:pt>
                <c:pt idx="10">
                  <c:v>111.5</c:v>
                </c:pt>
                <c:pt idx="11">
                  <c:v>143</c:v>
                </c:pt>
                <c:pt idx="12">
                  <c:v>151</c:v>
                </c:pt>
                <c:pt idx="13">
                  <c:v>249</c:v>
                </c:pt>
                <c:pt idx="14">
                  <c:v>251</c:v>
                </c:pt>
                <c:pt idx="15">
                  <c:v>257</c:v>
                </c:pt>
                <c:pt idx="16">
                  <c:v>332</c:v>
                </c:pt>
                <c:pt idx="17">
                  <c:v>355</c:v>
                </c:pt>
                <c:pt idx="18">
                  <c:v>365</c:v>
                </c:pt>
                <c:pt idx="19">
                  <c:v>398.5</c:v>
                </c:pt>
                <c:pt idx="20">
                  <c:v>399</c:v>
                </c:pt>
                <c:pt idx="21">
                  <c:v>418</c:v>
                </c:pt>
                <c:pt idx="22">
                  <c:v>455</c:v>
                </c:pt>
                <c:pt idx="23">
                  <c:v>474</c:v>
                </c:pt>
                <c:pt idx="24">
                  <c:v>498.5</c:v>
                </c:pt>
                <c:pt idx="25">
                  <c:v>508</c:v>
                </c:pt>
                <c:pt idx="26">
                  <c:v>524</c:v>
                </c:pt>
                <c:pt idx="27">
                  <c:v>528</c:v>
                </c:pt>
                <c:pt idx="28">
                  <c:v>541</c:v>
                </c:pt>
                <c:pt idx="29">
                  <c:v>580</c:v>
                </c:pt>
                <c:pt idx="30">
                  <c:v>583</c:v>
                </c:pt>
                <c:pt idx="31">
                  <c:v>594</c:v>
                </c:pt>
                <c:pt idx="32">
                  <c:v>627</c:v>
                </c:pt>
                <c:pt idx="33">
                  <c:v>630</c:v>
                </c:pt>
                <c:pt idx="34">
                  <c:v>637.5</c:v>
                </c:pt>
                <c:pt idx="35">
                  <c:v>638</c:v>
                </c:pt>
                <c:pt idx="36">
                  <c:v>680</c:v>
                </c:pt>
                <c:pt idx="37">
                  <c:v>730</c:v>
                </c:pt>
                <c:pt idx="38">
                  <c:v>760</c:v>
                </c:pt>
                <c:pt idx="39">
                  <c:v>811</c:v>
                </c:pt>
                <c:pt idx="40">
                  <c:v>811</c:v>
                </c:pt>
                <c:pt idx="41">
                  <c:v>811</c:v>
                </c:pt>
                <c:pt idx="42">
                  <c:v>813.5</c:v>
                </c:pt>
                <c:pt idx="43">
                  <c:v>827.5</c:v>
                </c:pt>
                <c:pt idx="44">
                  <c:v>827.5</c:v>
                </c:pt>
                <c:pt idx="45">
                  <c:v>828</c:v>
                </c:pt>
                <c:pt idx="46">
                  <c:v>919</c:v>
                </c:pt>
                <c:pt idx="47">
                  <c:v>928</c:v>
                </c:pt>
                <c:pt idx="48">
                  <c:v>1206</c:v>
                </c:pt>
                <c:pt idx="49">
                  <c:v>1237</c:v>
                </c:pt>
                <c:pt idx="50">
                  <c:v>1251</c:v>
                </c:pt>
                <c:pt idx="51">
                  <c:v>1253.5</c:v>
                </c:pt>
                <c:pt idx="52">
                  <c:v>1253.5</c:v>
                </c:pt>
                <c:pt idx="53">
                  <c:v>1342.5</c:v>
                </c:pt>
                <c:pt idx="54">
                  <c:v>1343</c:v>
                </c:pt>
                <c:pt idx="55">
                  <c:v>1492.5</c:v>
                </c:pt>
                <c:pt idx="56">
                  <c:v>1493</c:v>
                </c:pt>
                <c:pt idx="57">
                  <c:v>1682</c:v>
                </c:pt>
                <c:pt idx="58">
                  <c:v>1971.5</c:v>
                </c:pt>
                <c:pt idx="59">
                  <c:v>2019</c:v>
                </c:pt>
                <c:pt idx="60">
                  <c:v>2054.5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7.5394731791577369E-3</c:v>
                </c:pt>
                <c:pt idx="1">
                  <c:v>7.4762510927997277E-3</c:v>
                </c:pt>
                <c:pt idx="2">
                  <c:v>6.9125208227741441E-3</c:v>
                </c:pt>
                <c:pt idx="3">
                  <c:v>4.910488088103849E-3</c:v>
                </c:pt>
                <c:pt idx="4">
                  <c:v>4.910488088103849E-3</c:v>
                </c:pt>
                <c:pt idx="5">
                  <c:v>4.4995445267767883E-3</c:v>
                </c:pt>
                <c:pt idx="6">
                  <c:v>3.8883976919826986E-3</c:v>
                </c:pt>
                <c:pt idx="7">
                  <c:v>3.0138254973635695E-3</c:v>
                </c:pt>
                <c:pt idx="8">
                  <c:v>2.460632241730988E-3</c:v>
                </c:pt>
                <c:pt idx="9">
                  <c:v>2.4553637345344874E-3</c:v>
                </c:pt>
                <c:pt idx="10">
                  <c:v>1.8389483925438962E-3</c:v>
                </c:pt>
                <c:pt idx="11">
                  <c:v>1.5070324391643474E-3</c:v>
                </c:pt>
                <c:pt idx="12">
                  <c:v>1.4227363240203348E-3</c:v>
                </c:pt>
                <c:pt idx="13">
                  <c:v>3.9010891350618271E-4</c:v>
                </c:pt>
                <c:pt idx="14">
                  <c:v>3.6903488472017978E-4</c:v>
                </c:pt>
                <c:pt idx="15">
                  <c:v>3.0581279836217013E-4</c:v>
                </c:pt>
                <c:pt idx="16">
                  <c:v>-4.8446328111294637E-4</c:v>
                </c:pt>
                <c:pt idx="17">
                  <c:v>-7.2681461215198199E-4</c:v>
                </c:pt>
                <c:pt idx="18">
                  <c:v>-8.3218475608199749E-4</c:v>
                </c:pt>
                <c:pt idx="19">
                  <c:v>-1.1851747382475492E-3</c:v>
                </c:pt>
                <c:pt idx="20">
                  <c:v>-1.1904432454440503E-3</c:v>
                </c:pt>
                <c:pt idx="21">
                  <c:v>-1.3906465189110801E-3</c:v>
                </c:pt>
                <c:pt idx="22">
                  <c:v>-1.7805160514521375E-3</c:v>
                </c:pt>
                <c:pt idx="23">
                  <c:v>-1.9807193249191672E-3</c:v>
                </c:pt>
                <c:pt idx="24">
                  <c:v>-2.2388761775477052E-3</c:v>
                </c:pt>
                <c:pt idx="25">
                  <c:v>-2.33897781428122E-3</c:v>
                </c:pt>
                <c:pt idx="26">
                  <c:v>-2.5075700445692443E-3</c:v>
                </c:pt>
                <c:pt idx="27">
                  <c:v>-2.549718102141251E-3</c:v>
                </c:pt>
                <c:pt idx="28">
                  <c:v>-2.6866992892502707E-3</c:v>
                </c:pt>
                <c:pt idx="29">
                  <c:v>-3.0976428505773315E-3</c:v>
                </c:pt>
                <c:pt idx="30">
                  <c:v>-3.1292538937563361E-3</c:v>
                </c:pt>
                <c:pt idx="31">
                  <c:v>-3.2451610520793533E-3</c:v>
                </c:pt>
                <c:pt idx="32">
                  <c:v>-3.5928825270484049E-3</c:v>
                </c:pt>
                <c:pt idx="33">
                  <c:v>-3.6244935702274095E-3</c:v>
                </c:pt>
                <c:pt idx="34">
                  <c:v>-3.703521178174921E-3</c:v>
                </c:pt>
                <c:pt idx="35">
                  <c:v>-3.708789685371422E-3</c:v>
                </c:pt>
                <c:pt idx="36">
                  <c:v>-4.1513442898774861E-3</c:v>
                </c:pt>
                <c:pt idx="37">
                  <c:v>-4.6781950095275641E-3</c:v>
                </c:pt>
                <c:pt idx="38">
                  <c:v>-4.9943054413176102E-3</c:v>
                </c:pt>
                <c:pt idx="39">
                  <c:v>-5.5316931753606902E-3</c:v>
                </c:pt>
                <c:pt idx="40">
                  <c:v>-5.5316931753606902E-3</c:v>
                </c:pt>
                <c:pt idx="41">
                  <c:v>-5.5316931753606902E-3</c:v>
                </c:pt>
                <c:pt idx="42">
                  <c:v>-5.5580357113431938E-3</c:v>
                </c:pt>
                <c:pt idx="43">
                  <c:v>-5.7055539128452164E-3</c:v>
                </c:pt>
                <c:pt idx="44">
                  <c:v>-5.7055539128452164E-3</c:v>
                </c:pt>
                <c:pt idx="45">
                  <c:v>-5.7108224200417158E-3</c:v>
                </c:pt>
                <c:pt idx="46">
                  <c:v>-6.6696907298048579E-3</c:v>
                </c:pt>
                <c:pt idx="47">
                  <c:v>-6.7645238593418717E-3</c:v>
                </c:pt>
                <c:pt idx="48">
                  <c:v>-9.6938138605963033E-3</c:v>
                </c:pt>
                <c:pt idx="49">
                  <c:v>-1.0020461306779352E-2</c:v>
                </c:pt>
                <c:pt idx="50">
                  <c:v>-1.0167979508281374E-2</c:v>
                </c:pt>
                <c:pt idx="51">
                  <c:v>-1.0194322044263878E-2</c:v>
                </c:pt>
                <c:pt idx="52">
                  <c:v>-1.0194322044263878E-2</c:v>
                </c:pt>
                <c:pt idx="53">
                  <c:v>-1.1132116325241016E-2</c:v>
                </c:pt>
                <c:pt idx="54">
                  <c:v>-1.1137384832437517E-2</c:v>
                </c:pt>
                <c:pt idx="55">
                  <c:v>-1.2712668484191248E-2</c:v>
                </c:pt>
                <c:pt idx="56">
                  <c:v>-1.2717936991387751E-2</c:v>
                </c:pt>
                <c:pt idx="57">
                  <c:v>-1.4709432711665043E-2</c:v>
                </c:pt>
                <c:pt idx="58">
                  <c:v>-1.7759898378438995E-2</c:v>
                </c:pt>
                <c:pt idx="59">
                  <c:v>-1.8260406562106569E-2</c:v>
                </c:pt>
                <c:pt idx="60">
                  <c:v>-1.8634470573058122E-2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87-4537-B076-62DC8D9D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1232"/>
        <c:axId val="1"/>
      </c:scatterChart>
      <c:valAx>
        <c:axId val="85608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43298969072168"/>
          <c:y val="0.9204921861831491"/>
          <c:w val="0.294845360824742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19</xdr:col>
      <xdr:colOff>152399</xdr:colOff>
      <xdr:row>18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2D6BE50-73BA-4A05-D8E0-BBAC52A30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21</xdr:row>
      <xdr:rowOff>57150</xdr:rowOff>
    </xdr:from>
    <xdr:to>
      <xdr:col>12</xdr:col>
      <xdr:colOff>600074</xdr:colOff>
      <xdr:row>41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99C44F7-6D6B-4F59-96CA-62785B951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85725</xdr:rowOff>
    </xdr:from>
    <xdr:to>
      <xdr:col>13</xdr:col>
      <xdr:colOff>28575</xdr:colOff>
      <xdr:row>20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95DC2D-1DE2-1070-A597-269A1C86B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070" TargetMode="External"/><Relationship Id="rId7" Type="http://schemas.openxmlformats.org/officeDocument/2006/relationships/hyperlink" Target="http://www.konkoly.hu/cgi-bin/IBVS?3900" TargetMode="External"/><Relationship Id="rId12" Type="http://schemas.openxmlformats.org/officeDocument/2006/relationships/hyperlink" Target="http://www.konkoly.hu/cgi-bin/IBVS?4340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817" TargetMode="External"/><Relationship Id="rId16" Type="http://schemas.openxmlformats.org/officeDocument/2006/relationships/hyperlink" Target="http://www.konkoly.hu/cgi-bin/IBVS?5136" TargetMode="External"/><Relationship Id="rId1" Type="http://schemas.openxmlformats.org/officeDocument/2006/relationships/hyperlink" Target="http://www.konkoly.hu/cgi-bin/IBVS?817" TargetMode="External"/><Relationship Id="rId6" Type="http://schemas.openxmlformats.org/officeDocument/2006/relationships/hyperlink" Target="http://www.konkoly.hu/cgi-bin/IBVS?4363" TargetMode="External"/><Relationship Id="rId11" Type="http://schemas.openxmlformats.org/officeDocument/2006/relationships/hyperlink" Target="http://www.konkoly.hu/cgi-bin/IBVS?4340" TargetMode="External"/><Relationship Id="rId5" Type="http://schemas.openxmlformats.org/officeDocument/2006/relationships/hyperlink" Target="http://www.konkoly.hu/cgi-bin/IBVS?4363" TargetMode="External"/><Relationship Id="rId15" Type="http://schemas.openxmlformats.org/officeDocument/2006/relationships/hyperlink" Target="http://www.konkoly.hu/cgi-bin/IBVS?5136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43" TargetMode="External"/><Relationship Id="rId9" Type="http://schemas.openxmlformats.org/officeDocument/2006/relationships/hyperlink" Target="http://www.konkoly.hu/cgi-bin/IBVS?4340" TargetMode="External"/><Relationship Id="rId14" Type="http://schemas.openxmlformats.org/officeDocument/2006/relationships/hyperlink" Target="http://www.konkoly.hu/cgi-bin/IBVS?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648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68</v>
      </c>
    </row>
    <row r="2" spans="1:6" s="28" customFormat="1" ht="12.95" customHeight="1" x14ac:dyDescent="0.2">
      <c r="A2" s="28" t="s">
        <v>20</v>
      </c>
      <c r="B2" s="29" t="s">
        <v>64</v>
      </c>
    </row>
    <row r="3" spans="1:6" s="28" customFormat="1" ht="12.95" customHeight="1" thickBot="1" x14ac:dyDescent="0.25">
      <c r="C3" s="28" t="s">
        <v>56</v>
      </c>
    </row>
    <row r="4" spans="1:6" s="28" customFormat="1" ht="12.95" customHeight="1" thickTop="1" thickBot="1" x14ac:dyDescent="0.25">
      <c r="A4" s="30" t="s">
        <v>2</v>
      </c>
      <c r="C4" s="31">
        <v>42212.765099999997</v>
      </c>
      <c r="D4" s="32">
        <v>7.6407613000000003</v>
      </c>
    </row>
    <row r="5" spans="1:6" s="28" customFormat="1" ht="12.95" customHeight="1" thickTop="1" x14ac:dyDescent="0.2">
      <c r="A5" s="33" t="s">
        <v>300</v>
      </c>
      <c r="C5" s="34">
        <v>-9.5</v>
      </c>
      <c r="D5" s="28" t="s">
        <v>301</v>
      </c>
    </row>
    <row r="6" spans="1:6" s="28" customFormat="1" ht="12.95" customHeight="1" x14ac:dyDescent="0.2">
      <c r="A6" s="30" t="s">
        <v>3</v>
      </c>
    </row>
    <row r="7" spans="1:6" s="28" customFormat="1" ht="12.95" customHeight="1" x14ac:dyDescent="0.2">
      <c r="A7" s="28" t="s">
        <v>4</v>
      </c>
      <c r="C7" s="28">
        <f>+C4</f>
        <v>42212.765099999997</v>
      </c>
    </row>
    <row r="8" spans="1:6" s="28" customFormat="1" ht="12.95" customHeight="1" x14ac:dyDescent="0.2">
      <c r="A8" s="28" t="s">
        <v>5</v>
      </c>
      <c r="C8" s="28">
        <f>+D4</f>
        <v>7.6407613000000003</v>
      </c>
    </row>
    <row r="9" spans="1:6" s="28" customFormat="1" ht="12.95" customHeight="1" x14ac:dyDescent="0.2">
      <c r="A9" s="35" t="s">
        <v>69</v>
      </c>
      <c r="B9" s="35"/>
      <c r="C9" s="36">
        <v>21</v>
      </c>
      <c r="D9" s="36">
        <v>21</v>
      </c>
    </row>
    <row r="10" spans="1:6" s="28" customFormat="1" ht="12.95" customHeight="1" thickBot="1" x14ac:dyDescent="0.25">
      <c r="C10" s="37" t="s">
        <v>57</v>
      </c>
      <c r="D10" s="37" t="s">
        <v>58</v>
      </c>
    </row>
    <row r="11" spans="1:6" s="28" customFormat="1" ht="12.95" customHeight="1" x14ac:dyDescent="0.2">
      <c r="A11" s="28" t="s">
        <v>17</v>
      </c>
      <c r="C11" s="38">
        <f ca="1">INTERCEPT(INDIRECT(C14):R$933,INDIRECT(C13):$F$933)</f>
        <v>3.0138254973635695E-3</v>
      </c>
      <c r="D11" s="38">
        <f ca="1">INTERCEPT(INDIRECT(D14):S$933,INDIRECT(D13):$F$933)</f>
        <v>1.8580148831382497</v>
      </c>
      <c r="E11" s="35" t="s">
        <v>302</v>
      </c>
      <c r="F11" s="28">
        <v>1</v>
      </c>
    </row>
    <row r="12" spans="1:6" s="28" customFormat="1" ht="12.95" customHeight="1" x14ac:dyDescent="0.2">
      <c r="A12" s="28" t="s">
        <v>18</v>
      </c>
      <c r="C12" s="38">
        <f ca="1">SLOPE(INDIRECT(C14):R$933,INDIRECT(C13):$F$933)</f>
        <v>-1.0537014393001554E-5</v>
      </c>
      <c r="D12" s="38">
        <f ca="1">SLOPE(INDIRECT(D14):S$933,INDIRECT(D13):$F$933)</f>
        <v>-3.0965520435863918E-5</v>
      </c>
      <c r="E12" s="35" t="s">
        <v>303</v>
      </c>
      <c r="F12" s="39">
        <f ca="1">NOW()+15018.5+$C$5/24</f>
        <v>60344.713967013886</v>
      </c>
    </row>
    <row r="13" spans="1:6" s="28" customFormat="1" ht="12.95" customHeight="1" x14ac:dyDescent="0.2">
      <c r="A13" s="35" t="s">
        <v>70</v>
      </c>
      <c r="B13" s="35"/>
      <c r="C13" s="36" t="str">
        <f>"F"&amp;C9</f>
        <v>F21</v>
      </c>
      <c r="D13" s="36" t="str">
        <f>"F"&amp;D9</f>
        <v>F21</v>
      </c>
      <c r="E13" s="35" t="s">
        <v>304</v>
      </c>
      <c r="F13" s="39">
        <f ca="1">ROUND(2*(F12-$C$7)/$C$8,0)/2+F11</f>
        <v>2374</v>
      </c>
    </row>
    <row r="14" spans="1:6" s="28" customFormat="1" ht="12.95" customHeight="1" x14ac:dyDescent="0.2">
      <c r="A14" s="35" t="s">
        <v>71</v>
      </c>
      <c r="B14" s="35"/>
      <c r="C14" s="36" t="str">
        <f>"R"&amp;C9</f>
        <v>R21</v>
      </c>
      <c r="D14" s="36" t="str">
        <f>"S"&amp;D9</f>
        <v>S21</v>
      </c>
      <c r="E14" s="35" t="s">
        <v>305</v>
      </c>
      <c r="F14" s="38">
        <f ca="1">ROUND(2*(F12-$C$15)/$C$16,0)/2+F11</f>
        <v>320</v>
      </c>
    </row>
    <row r="15" spans="1:6" s="28" customFormat="1" ht="12.95" customHeight="1" x14ac:dyDescent="0.2">
      <c r="A15" s="40" t="s">
        <v>19</v>
      </c>
      <c r="C15" s="41">
        <f ca="1">($C7+C11)+($C8+C12)*INT(MAX($F21:$F3531))</f>
        <v>57906.870180997932</v>
      </c>
      <c r="D15" s="41">
        <f ca="1">($C7+D11)+($C8+D12)*INT(MAX($F21:$F3531))</f>
        <v>57908.683221904161</v>
      </c>
      <c r="E15" s="35" t="s">
        <v>306</v>
      </c>
      <c r="F15" s="42">
        <f ca="1">+$C$15+$C$16*F14-15018.5-$C$5/24</f>
        <v>45333.806258486664</v>
      </c>
    </row>
    <row r="16" spans="1:6" s="28" customFormat="1" ht="12.95" customHeight="1" x14ac:dyDescent="0.2">
      <c r="A16" s="30" t="s">
        <v>6</v>
      </c>
      <c r="C16" s="43">
        <f ca="1">+$C8+C12</f>
        <v>7.6407507629856077</v>
      </c>
      <c r="D16" s="38">
        <f ca="1">+$C8+D12</f>
        <v>7.6407303344795645</v>
      </c>
      <c r="E16" s="44"/>
      <c r="F16" s="44" t="s">
        <v>307</v>
      </c>
    </row>
    <row r="17" spans="1:33" s="28" customFormat="1" ht="12.95" customHeight="1" thickBot="1" x14ac:dyDescent="0.25">
      <c r="A17" s="35" t="s">
        <v>72</v>
      </c>
      <c r="C17" s="28">
        <f>COUNT(C21:C1245)</f>
        <v>61</v>
      </c>
    </row>
    <row r="18" spans="1:33" s="28" customFormat="1" ht="12.95" customHeight="1" thickTop="1" thickBot="1" x14ac:dyDescent="0.25">
      <c r="A18" s="30" t="s">
        <v>66</v>
      </c>
      <c r="C18" s="45">
        <f ca="1">+C15</f>
        <v>57906.870180997932</v>
      </c>
      <c r="D18" s="46">
        <f ca="1">+C16</f>
        <v>7.6407507629856077</v>
      </c>
      <c r="E18" s="33">
        <f>R19</f>
        <v>45</v>
      </c>
    </row>
    <row r="19" spans="1:33" s="28" customFormat="1" ht="12.95" customHeight="1" thickBot="1" x14ac:dyDescent="0.25">
      <c r="A19" s="30" t="s">
        <v>67</v>
      </c>
      <c r="C19" s="47">
        <f ca="1">D15</f>
        <v>57908.683221904161</v>
      </c>
      <c r="D19" s="48">
        <f ca="1">D16</f>
        <v>7.6407303344795645</v>
      </c>
      <c r="E19" s="33">
        <f>S19</f>
        <v>16</v>
      </c>
      <c r="R19" s="28">
        <f>COUNT(R21:R964)</f>
        <v>45</v>
      </c>
      <c r="S19" s="28">
        <f>COUNT(S21:S964)</f>
        <v>16</v>
      </c>
    </row>
    <row r="20" spans="1:33" s="28" customFormat="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14</v>
      </c>
      <c r="E20" s="37" t="s">
        <v>10</v>
      </c>
      <c r="F20" s="37" t="s">
        <v>11</v>
      </c>
      <c r="G20" s="37" t="s">
        <v>12</v>
      </c>
      <c r="H20" s="49" t="s">
        <v>82</v>
      </c>
      <c r="I20" s="49" t="s">
        <v>84</v>
      </c>
      <c r="J20" s="49" t="s">
        <v>79</v>
      </c>
      <c r="K20" s="49" t="s">
        <v>77</v>
      </c>
      <c r="L20" s="49" t="s">
        <v>308</v>
      </c>
      <c r="M20" s="49" t="s">
        <v>309</v>
      </c>
      <c r="N20" s="49" t="s">
        <v>21</v>
      </c>
      <c r="O20" s="49" t="s">
        <v>59</v>
      </c>
      <c r="P20" s="50" t="s">
        <v>60</v>
      </c>
      <c r="Q20" s="37" t="s">
        <v>16</v>
      </c>
      <c r="R20" s="51" t="s">
        <v>57</v>
      </c>
      <c r="S20" s="51" t="s">
        <v>58</v>
      </c>
    </row>
    <row r="21" spans="1:33" s="27" customFormat="1" ht="12.95" customHeight="1" x14ac:dyDescent="0.2">
      <c r="A21" s="26" t="s">
        <v>91</v>
      </c>
      <c r="B21" s="24" t="s">
        <v>54</v>
      </c>
      <c r="C21" s="25">
        <v>38932.934000000001</v>
      </c>
      <c r="D21" s="25" t="s">
        <v>84</v>
      </c>
      <c r="E21" s="27">
        <f t="shared" ref="E21:E52" si="0">+(C21-C$7)/C$8</f>
        <v>-429.25449064872578</v>
      </c>
      <c r="F21" s="27">
        <f t="shared" ref="F21:F52" si="1">ROUND(2*E21,0)/2</f>
        <v>-429.5</v>
      </c>
      <c r="G21" s="27">
        <f t="shared" ref="G21:G52" si="2">+C21-(C$7+F21*C$8)</f>
        <v>1.8758783500015852</v>
      </c>
      <c r="I21" s="27">
        <f>+G21</f>
        <v>1.8758783500015852</v>
      </c>
      <c r="O21" s="27">
        <f t="shared" ref="O21:O27" ca="1" si="3">+C$11+C$12*F21</f>
        <v>7.5394731791577369E-3</v>
      </c>
      <c r="P21" s="27">
        <f t="shared" ref="P21:P52" ca="1" si="4">+D$11+D$12*F21</f>
        <v>1.8713145741654533</v>
      </c>
      <c r="Q21" s="52">
        <f t="shared" ref="Q21:Q52" si="5">+C21-15018.5</f>
        <v>23914.434000000001</v>
      </c>
      <c r="S21" s="27">
        <f>G21</f>
        <v>1.8758783500015852</v>
      </c>
    </row>
    <row r="22" spans="1:33" s="27" customFormat="1" ht="12.95" customHeight="1" x14ac:dyDescent="0.2">
      <c r="A22" s="23" t="s">
        <v>96</v>
      </c>
      <c r="B22" s="24" t="s">
        <v>54</v>
      </c>
      <c r="C22" s="25">
        <v>38978.780700000003</v>
      </c>
      <c r="D22" s="25" t="s">
        <v>84</v>
      </c>
      <c r="E22" s="27">
        <f t="shared" si="0"/>
        <v>-423.25421159276283</v>
      </c>
      <c r="F22" s="27">
        <f t="shared" si="1"/>
        <v>-423.5</v>
      </c>
      <c r="G22" s="27">
        <f t="shared" si="2"/>
        <v>1.8780105500045465</v>
      </c>
      <c r="J22" s="27">
        <f>+G22</f>
        <v>1.8780105500045465</v>
      </c>
      <c r="O22" s="27">
        <f t="shared" ca="1" si="3"/>
        <v>7.4762510927997277E-3</v>
      </c>
      <c r="P22" s="27">
        <f t="shared" ca="1" si="4"/>
        <v>1.8711287810428381</v>
      </c>
      <c r="Q22" s="52">
        <f t="shared" si="5"/>
        <v>23960.280700000003</v>
      </c>
      <c r="S22" s="27">
        <f>G22</f>
        <v>1.8780105500045465</v>
      </c>
    </row>
    <row r="23" spans="1:33" s="27" customFormat="1" ht="12.95" customHeight="1" x14ac:dyDescent="0.2">
      <c r="A23" s="23" t="s">
        <v>96</v>
      </c>
      <c r="B23" s="24" t="s">
        <v>62</v>
      </c>
      <c r="C23" s="25">
        <v>39385.688099999999</v>
      </c>
      <c r="D23" s="25" t="s">
        <v>84</v>
      </c>
      <c r="E23" s="27">
        <f t="shared" si="0"/>
        <v>-369.99938736471159</v>
      </c>
      <c r="F23" s="27">
        <f t="shared" si="1"/>
        <v>-370</v>
      </c>
      <c r="G23" s="27">
        <f t="shared" si="2"/>
        <v>4.681000005803071E-3</v>
      </c>
      <c r="J23" s="27">
        <f>+G23</f>
        <v>4.681000005803071E-3</v>
      </c>
      <c r="O23" s="27">
        <f t="shared" ca="1" si="3"/>
        <v>6.9125208227741441E-3</v>
      </c>
      <c r="P23" s="27">
        <f t="shared" ca="1" si="4"/>
        <v>1.8694721256995193</v>
      </c>
      <c r="Q23" s="52">
        <f t="shared" si="5"/>
        <v>24367.188099999999</v>
      </c>
      <c r="R23" s="27">
        <f t="shared" ref="R23:R28" si="6">G23</f>
        <v>4.681000005803071E-3</v>
      </c>
    </row>
    <row r="24" spans="1:33" s="27" customFormat="1" ht="12.95" customHeight="1" x14ac:dyDescent="0.2">
      <c r="A24" s="4" t="s">
        <v>65</v>
      </c>
      <c r="B24" s="3" t="s">
        <v>62</v>
      </c>
      <c r="C24" s="7">
        <v>40837.431199999999</v>
      </c>
      <c r="D24" s="6">
        <v>1E-4</v>
      </c>
      <c r="E24" s="27">
        <f t="shared" si="0"/>
        <v>-179.99958983144754</v>
      </c>
      <c r="F24" s="27">
        <f t="shared" si="1"/>
        <v>-180</v>
      </c>
      <c r="G24" s="27">
        <f t="shared" si="2"/>
        <v>3.1340000059572048E-3</v>
      </c>
      <c r="H24" s="27">
        <f>+G24</f>
        <v>3.1340000059572048E-3</v>
      </c>
      <c r="O24" s="27">
        <f t="shared" ca="1" si="3"/>
        <v>4.910488088103849E-3</v>
      </c>
      <c r="P24" s="27">
        <f t="shared" ca="1" si="4"/>
        <v>1.8635886768167051</v>
      </c>
      <c r="Q24" s="52">
        <f t="shared" si="5"/>
        <v>25818.931199999999</v>
      </c>
      <c r="R24" s="27">
        <f t="shared" si="6"/>
        <v>3.1340000059572048E-3</v>
      </c>
      <c r="AA24" s="27" t="s">
        <v>22</v>
      </c>
      <c r="AG24" s="27" t="s">
        <v>23</v>
      </c>
    </row>
    <row r="25" spans="1:33" s="27" customFormat="1" ht="12.95" customHeight="1" x14ac:dyDescent="0.2">
      <c r="A25" s="23" t="s">
        <v>104</v>
      </c>
      <c r="B25" s="24" t="s">
        <v>62</v>
      </c>
      <c r="C25" s="25">
        <v>40837.431299999997</v>
      </c>
      <c r="D25" s="25" t="s">
        <v>84</v>
      </c>
      <c r="E25" s="27">
        <f t="shared" si="0"/>
        <v>-179.99957674374676</v>
      </c>
      <c r="F25" s="27">
        <f t="shared" si="1"/>
        <v>-180</v>
      </c>
      <c r="G25" s="27">
        <f t="shared" si="2"/>
        <v>3.2340000034309924E-3</v>
      </c>
      <c r="I25" s="27">
        <f>+G25</f>
        <v>3.2340000034309924E-3</v>
      </c>
      <c r="O25" s="27">
        <f t="shared" ca="1" si="3"/>
        <v>4.910488088103849E-3</v>
      </c>
      <c r="P25" s="27">
        <f t="shared" ca="1" si="4"/>
        <v>1.8635886768167051</v>
      </c>
      <c r="Q25" s="52">
        <f t="shared" si="5"/>
        <v>25818.931299999997</v>
      </c>
      <c r="R25" s="27">
        <f t="shared" si="6"/>
        <v>3.2340000034309924E-3</v>
      </c>
    </row>
    <row r="26" spans="1:33" s="27" customFormat="1" ht="12.95" customHeight="1" x14ac:dyDescent="0.2">
      <c r="A26" s="4" t="s">
        <v>65</v>
      </c>
      <c r="B26" s="3" t="s">
        <v>62</v>
      </c>
      <c r="C26" s="7">
        <v>41135.4208</v>
      </c>
      <c r="D26" s="6">
        <v>5.0000000000000001E-4</v>
      </c>
      <c r="E26" s="27">
        <f t="shared" si="0"/>
        <v>-140.9996017019923</v>
      </c>
      <c r="F26" s="27">
        <f t="shared" si="1"/>
        <v>-141</v>
      </c>
      <c r="G26" s="27">
        <f t="shared" si="2"/>
        <v>3.0433000065386295E-3</v>
      </c>
      <c r="H26" s="27">
        <f>+G26</f>
        <v>3.0433000065386295E-3</v>
      </c>
      <c r="O26" s="27">
        <f t="shared" ca="1" si="3"/>
        <v>4.4995445267767883E-3</v>
      </c>
      <c r="P26" s="27">
        <f t="shared" ca="1" si="4"/>
        <v>1.8623810215197065</v>
      </c>
      <c r="Q26" s="52">
        <f t="shared" si="5"/>
        <v>26116.9208</v>
      </c>
      <c r="R26" s="27">
        <f t="shared" si="6"/>
        <v>3.0433000065386295E-3</v>
      </c>
    </row>
    <row r="27" spans="1:33" s="27" customFormat="1" ht="12.95" customHeight="1" x14ac:dyDescent="0.2">
      <c r="A27" s="53" t="s">
        <v>25</v>
      </c>
      <c r="B27" s="3"/>
      <c r="C27" s="7">
        <v>41578.587</v>
      </c>
      <c r="D27" s="7"/>
      <c r="E27" s="27">
        <f t="shared" si="0"/>
        <v>-82.999334110855855</v>
      </c>
      <c r="F27" s="27">
        <f t="shared" si="1"/>
        <v>-83</v>
      </c>
      <c r="G27" s="27">
        <f t="shared" si="2"/>
        <v>5.0879000045824796E-3</v>
      </c>
      <c r="I27" s="27">
        <f>+G27</f>
        <v>5.0879000045824796E-3</v>
      </c>
      <c r="O27" s="27">
        <f t="shared" ca="1" si="3"/>
        <v>3.8883976919826986E-3</v>
      </c>
      <c r="P27" s="27">
        <f t="shared" ca="1" si="4"/>
        <v>1.8605850213344264</v>
      </c>
      <c r="Q27" s="52">
        <f t="shared" si="5"/>
        <v>26560.087</v>
      </c>
      <c r="R27" s="27">
        <f t="shared" si="6"/>
        <v>5.0879000045824796E-3</v>
      </c>
      <c r="AA27" s="27" t="s">
        <v>24</v>
      </c>
      <c r="AG27" s="27" t="s">
        <v>23</v>
      </c>
    </row>
    <row r="28" spans="1:33" s="27" customFormat="1" ht="12.95" customHeight="1" x14ac:dyDescent="0.2">
      <c r="A28" s="53" t="s">
        <v>13</v>
      </c>
      <c r="B28" s="3"/>
      <c r="C28" s="7">
        <v>42212.765099999997</v>
      </c>
      <c r="D28" s="7" t="s">
        <v>15</v>
      </c>
      <c r="E28" s="27">
        <f t="shared" si="0"/>
        <v>0</v>
      </c>
      <c r="F28" s="27">
        <f t="shared" si="1"/>
        <v>0</v>
      </c>
      <c r="G28" s="27">
        <f t="shared" si="2"/>
        <v>0</v>
      </c>
      <c r="H28" s="27">
        <f>+G28</f>
        <v>0</v>
      </c>
      <c r="O28" s="27">
        <f ca="1">+C$11+C$12*$F28</f>
        <v>3.0138254973635695E-3</v>
      </c>
      <c r="P28" s="27">
        <f t="shared" ca="1" si="4"/>
        <v>1.8580148831382497</v>
      </c>
      <c r="Q28" s="52">
        <f t="shared" si="5"/>
        <v>27194.265099999997</v>
      </c>
      <c r="R28" s="27">
        <f t="shared" si="6"/>
        <v>0</v>
      </c>
    </row>
    <row r="29" spans="1:33" s="27" customFormat="1" ht="12.95" customHeight="1" x14ac:dyDescent="0.2">
      <c r="A29" s="53" t="s">
        <v>26</v>
      </c>
      <c r="B29" s="3" t="s">
        <v>54</v>
      </c>
      <c r="C29" s="7">
        <v>42615.75</v>
      </c>
      <c r="D29" s="7"/>
      <c r="E29" s="27">
        <f t="shared" si="0"/>
        <v>52.741459152768336</v>
      </c>
      <c r="F29" s="27">
        <f t="shared" si="1"/>
        <v>52.5</v>
      </c>
      <c r="G29" s="27">
        <f t="shared" si="2"/>
        <v>1.8449317500053439</v>
      </c>
      <c r="I29" s="27">
        <f>+G29</f>
        <v>1.8449317500053439</v>
      </c>
      <c r="O29" s="27">
        <f t="shared" ref="O29:O60" ca="1" si="7">+C$11+C$12*F29</f>
        <v>2.460632241730988E-3</v>
      </c>
      <c r="P29" s="27">
        <f t="shared" ca="1" si="4"/>
        <v>1.8563891933153669</v>
      </c>
      <c r="Q29" s="52">
        <f t="shared" si="5"/>
        <v>27597.25</v>
      </c>
      <c r="S29" s="27">
        <f>G29</f>
        <v>1.8449317500053439</v>
      </c>
      <c r="AA29" s="27" t="s">
        <v>22</v>
      </c>
      <c r="AG29" s="27" t="s">
        <v>23</v>
      </c>
    </row>
    <row r="30" spans="1:33" s="27" customFormat="1" ht="12.95" customHeight="1" x14ac:dyDescent="0.2">
      <c r="A30" s="53" t="s">
        <v>26</v>
      </c>
      <c r="B30" s="3"/>
      <c r="C30" s="7">
        <v>42617.726999999999</v>
      </c>
      <c r="D30" s="7"/>
      <c r="E30" s="27">
        <f t="shared" si="0"/>
        <v>53.000203003331883</v>
      </c>
      <c r="F30" s="27">
        <f t="shared" si="1"/>
        <v>53</v>
      </c>
      <c r="G30" s="27">
        <f t="shared" si="2"/>
        <v>1.5511000019614585E-3</v>
      </c>
      <c r="I30" s="27">
        <f>+G30</f>
        <v>1.5511000019614585E-3</v>
      </c>
      <c r="O30" s="27">
        <f t="shared" ca="1" si="7"/>
        <v>2.4553637345344874E-3</v>
      </c>
      <c r="P30" s="27">
        <f t="shared" ca="1" si="4"/>
        <v>1.856373710555149</v>
      </c>
      <c r="Q30" s="52">
        <f t="shared" si="5"/>
        <v>27599.226999999999</v>
      </c>
      <c r="R30" s="27">
        <f>G30</f>
        <v>1.5511000019614585E-3</v>
      </c>
      <c r="AA30" s="27" t="s">
        <v>22</v>
      </c>
      <c r="AG30" s="27" t="s">
        <v>23</v>
      </c>
    </row>
    <row r="31" spans="1:33" s="27" customFormat="1" ht="12.95" customHeight="1" x14ac:dyDescent="0.2">
      <c r="A31" s="53" t="s">
        <v>26</v>
      </c>
      <c r="B31" s="3" t="s">
        <v>54</v>
      </c>
      <c r="C31" s="7">
        <v>43066.574999999997</v>
      </c>
      <c r="D31" s="7"/>
      <c r="E31" s="27">
        <f t="shared" si="0"/>
        <v>111.74408759504111</v>
      </c>
      <c r="F31" s="27">
        <f t="shared" si="1"/>
        <v>111.5</v>
      </c>
      <c r="G31" s="27">
        <f t="shared" si="2"/>
        <v>1.8650150500034215</v>
      </c>
      <c r="I31" s="27">
        <f>+G31</f>
        <v>1.8650150500034215</v>
      </c>
      <c r="O31" s="27">
        <f t="shared" ca="1" si="7"/>
        <v>1.8389483925438962E-3</v>
      </c>
      <c r="P31" s="27">
        <f t="shared" ca="1" si="4"/>
        <v>1.8545622276096509</v>
      </c>
      <c r="Q31" s="52">
        <f t="shared" si="5"/>
        <v>28048.074999999997</v>
      </c>
      <c r="S31" s="27">
        <f>G31</f>
        <v>1.8650150500034215</v>
      </c>
      <c r="AA31" s="27" t="s">
        <v>22</v>
      </c>
      <c r="AG31" s="27" t="s">
        <v>23</v>
      </c>
    </row>
    <row r="32" spans="1:33" s="27" customFormat="1" ht="12.95" customHeight="1" x14ac:dyDescent="0.2">
      <c r="A32" s="53" t="s">
        <v>27</v>
      </c>
      <c r="B32" s="3"/>
      <c r="C32" s="7">
        <v>43305.3943</v>
      </c>
      <c r="D32" s="7"/>
      <c r="E32" s="27">
        <f t="shared" si="0"/>
        <v>143.00004372600975</v>
      </c>
      <c r="F32" s="27">
        <f t="shared" si="1"/>
        <v>143</v>
      </c>
      <c r="G32" s="27">
        <f t="shared" si="2"/>
        <v>3.3410000469302759E-4</v>
      </c>
      <c r="J32" s="27">
        <f>+G32</f>
        <v>3.3410000469302759E-4</v>
      </c>
      <c r="O32" s="27">
        <f t="shared" ca="1" si="7"/>
        <v>1.5070324391643474E-3</v>
      </c>
      <c r="P32" s="27">
        <f t="shared" ca="1" si="4"/>
        <v>1.8535868137159213</v>
      </c>
      <c r="Q32" s="52">
        <f t="shared" si="5"/>
        <v>28286.8943</v>
      </c>
      <c r="R32" s="27">
        <f t="shared" ref="R32:R39" si="8">G32</f>
        <v>3.3410000469302759E-4</v>
      </c>
      <c r="AA32" s="27" t="s">
        <v>22</v>
      </c>
      <c r="AG32" s="27" t="s">
        <v>23</v>
      </c>
    </row>
    <row r="33" spans="1:33" s="27" customFormat="1" ht="12.95" customHeight="1" x14ac:dyDescent="0.2">
      <c r="A33" s="53" t="s">
        <v>29</v>
      </c>
      <c r="B33" s="3"/>
      <c r="C33" s="7">
        <v>43366.495000000003</v>
      </c>
      <c r="D33" s="7" t="s">
        <v>28</v>
      </c>
      <c r="E33" s="27">
        <f t="shared" si="0"/>
        <v>150.99672070635233</v>
      </c>
      <c r="F33" s="27">
        <f t="shared" si="1"/>
        <v>151</v>
      </c>
      <c r="G33" s="27">
        <f t="shared" si="2"/>
        <v>-2.5056299993593711E-2</v>
      </c>
      <c r="I33" s="27">
        <f t="shared" ref="I33:I54" si="9">+G33</f>
        <v>-2.5056299993593711E-2</v>
      </c>
      <c r="O33" s="27">
        <f t="shared" ca="1" si="7"/>
        <v>1.4227363240203348E-3</v>
      </c>
      <c r="P33" s="27">
        <f t="shared" ca="1" si="4"/>
        <v>1.8533390895524342</v>
      </c>
      <c r="Q33" s="52">
        <f t="shared" si="5"/>
        <v>28347.995000000003</v>
      </c>
      <c r="R33" s="27">
        <f t="shared" si="8"/>
        <v>-2.5056299993593711E-2</v>
      </c>
      <c r="AA33" s="27" t="s">
        <v>24</v>
      </c>
      <c r="AG33" s="27" t="s">
        <v>23</v>
      </c>
    </row>
    <row r="34" spans="1:33" s="27" customFormat="1" ht="12.95" customHeight="1" x14ac:dyDescent="0.2">
      <c r="A34" s="53" t="s">
        <v>31</v>
      </c>
      <c r="B34" s="3"/>
      <c r="C34" s="7">
        <v>44115.328000000001</v>
      </c>
      <c r="D34" s="7"/>
      <c r="E34" s="27">
        <f t="shared" si="0"/>
        <v>249.00174541508113</v>
      </c>
      <c r="F34" s="27">
        <f t="shared" si="1"/>
        <v>249</v>
      </c>
      <c r="G34" s="27">
        <f t="shared" si="2"/>
        <v>1.3336300005903468E-2</v>
      </c>
      <c r="I34" s="27">
        <f t="shared" si="9"/>
        <v>1.3336300005903468E-2</v>
      </c>
      <c r="O34" s="27">
        <f t="shared" ca="1" si="7"/>
        <v>3.9010891350618271E-4</v>
      </c>
      <c r="P34" s="27">
        <f t="shared" ca="1" si="4"/>
        <v>1.8503044685497196</v>
      </c>
      <c r="Q34" s="52">
        <f t="shared" si="5"/>
        <v>29096.828000000001</v>
      </c>
      <c r="R34" s="27">
        <f t="shared" si="8"/>
        <v>1.3336300005903468E-2</v>
      </c>
      <c r="AA34" s="27" t="s">
        <v>24</v>
      </c>
      <c r="AC34" s="27">
        <v>33</v>
      </c>
      <c r="AE34" s="27" t="s">
        <v>30</v>
      </c>
      <c r="AG34" s="27" t="s">
        <v>32</v>
      </c>
    </row>
    <row r="35" spans="1:33" s="27" customFormat="1" ht="12.95" customHeight="1" x14ac:dyDescent="0.2">
      <c r="A35" s="53" t="s">
        <v>33</v>
      </c>
      <c r="B35" s="3"/>
      <c r="C35" s="7">
        <v>44130.597999999998</v>
      </c>
      <c r="D35" s="7"/>
      <c r="E35" s="27">
        <f t="shared" si="0"/>
        <v>251.00023737163482</v>
      </c>
      <c r="F35" s="27">
        <f t="shared" si="1"/>
        <v>251</v>
      </c>
      <c r="G35" s="27">
        <f t="shared" si="2"/>
        <v>1.8137000006390736E-3</v>
      </c>
      <c r="I35" s="27">
        <f t="shared" si="9"/>
        <v>1.8137000006390736E-3</v>
      </c>
      <c r="O35" s="27">
        <f t="shared" ca="1" si="7"/>
        <v>3.6903488472017978E-4</v>
      </c>
      <c r="P35" s="27">
        <f t="shared" ca="1" si="4"/>
        <v>1.8502425375088478</v>
      </c>
      <c r="Q35" s="52">
        <f t="shared" si="5"/>
        <v>29112.097999999998</v>
      </c>
      <c r="R35" s="27">
        <f t="shared" si="8"/>
        <v>1.8137000006390736E-3</v>
      </c>
      <c r="AA35" s="27" t="s">
        <v>24</v>
      </c>
      <c r="AG35" s="27" t="s">
        <v>23</v>
      </c>
    </row>
    <row r="36" spans="1:33" s="27" customFormat="1" ht="12.95" customHeight="1" x14ac:dyDescent="0.2">
      <c r="A36" s="53" t="s">
        <v>33</v>
      </c>
      <c r="B36" s="3"/>
      <c r="C36" s="7">
        <v>44176.425000000003</v>
      </c>
      <c r="D36" s="7"/>
      <c r="E36" s="27">
        <f t="shared" si="0"/>
        <v>256.99793815048326</v>
      </c>
      <c r="F36" s="27">
        <f t="shared" si="1"/>
        <v>257</v>
      </c>
      <c r="G36" s="27">
        <f t="shared" si="2"/>
        <v>-1.5754099993500859E-2</v>
      </c>
      <c r="I36" s="27">
        <f t="shared" si="9"/>
        <v>-1.5754099993500859E-2</v>
      </c>
      <c r="O36" s="27">
        <f t="shared" ca="1" si="7"/>
        <v>3.0581279836217013E-4</v>
      </c>
      <c r="P36" s="27">
        <f t="shared" ca="1" si="4"/>
        <v>1.8500567443862326</v>
      </c>
      <c r="Q36" s="52">
        <f t="shared" si="5"/>
        <v>29157.925000000003</v>
      </c>
      <c r="R36" s="27">
        <f t="shared" si="8"/>
        <v>-1.5754099993500859E-2</v>
      </c>
      <c r="AA36" s="27" t="s">
        <v>24</v>
      </c>
      <c r="AG36" s="27" t="s">
        <v>23</v>
      </c>
    </row>
    <row r="37" spans="1:33" s="27" customFormat="1" ht="12.95" customHeight="1" x14ac:dyDescent="0.2">
      <c r="A37" s="53" t="s">
        <v>33</v>
      </c>
      <c r="B37" s="3"/>
      <c r="C37" s="7">
        <v>44749.498</v>
      </c>
      <c r="D37" s="7"/>
      <c r="E37" s="27">
        <f t="shared" si="0"/>
        <v>332.00001942214874</v>
      </c>
      <c r="F37" s="27">
        <f t="shared" si="1"/>
        <v>332</v>
      </c>
      <c r="G37" s="27">
        <f t="shared" si="2"/>
        <v>1.4840000221738592E-4</v>
      </c>
      <c r="I37" s="27">
        <f t="shared" si="9"/>
        <v>1.4840000221738592E-4</v>
      </c>
      <c r="O37" s="27">
        <f t="shared" ca="1" si="7"/>
        <v>-4.8446328111294637E-4</v>
      </c>
      <c r="P37" s="27">
        <f t="shared" ca="1" si="4"/>
        <v>1.847734330353543</v>
      </c>
      <c r="Q37" s="52">
        <f t="shared" si="5"/>
        <v>29730.998</v>
      </c>
      <c r="R37" s="27">
        <f t="shared" si="8"/>
        <v>1.4840000221738592E-4</v>
      </c>
      <c r="AA37" s="27" t="s">
        <v>24</v>
      </c>
      <c r="AG37" s="27" t="s">
        <v>23</v>
      </c>
    </row>
    <row r="38" spans="1:33" s="27" customFormat="1" ht="12.95" customHeight="1" x14ac:dyDescent="0.2">
      <c r="A38" s="53" t="s">
        <v>33</v>
      </c>
      <c r="B38" s="3"/>
      <c r="C38" s="7">
        <v>44925.258999999998</v>
      </c>
      <c r="D38" s="7"/>
      <c r="E38" s="27">
        <f t="shared" si="0"/>
        <v>355.00309373622247</v>
      </c>
      <c r="F38" s="27">
        <f t="shared" si="1"/>
        <v>355</v>
      </c>
      <c r="G38" s="27">
        <f t="shared" si="2"/>
        <v>2.3638500002562068E-2</v>
      </c>
      <c r="I38" s="27">
        <f t="shared" si="9"/>
        <v>2.3638500002562068E-2</v>
      </c>
      <c r="O38" s="27">
        <f t="shared" ca="1" si="7"/>
        <v>-7.2681461215198199E-4</v>
      </c>
      <c r="P38" s="27">
        <f t="shared" ca="1" si="4"/>
        <v>1.847022123383518</v>
      </c>
      <c r="Q38" s="52">
        <f t="shared" si="5"/>
        <v>29906.758999999998</v>
      </c>
      <c r="R38" s="27">
        <f t="shared" si="8"/>
        <v>2.3638500002562068E-2</v>
      </c>
      <c r="AA38" s="27" t="s">
        <v>24</v>
      </c>
      <c r="AG38" s="27" t="s">
        <v>23</v>
      </c>
    </row>
    <row r="39" spans="1:33" s="27" customFormat="1" ht="12.95" customHeight="1" x14ac:dyDescent="0.2">
      <c r="A39" s="53" t="s">
        <v>34</v>
      </c>
      <c r="B39" s="3"/>
      <c r="C39" s="7">
        <v>45001.654000000002</v>
      </c>
      <c r="D39" s="7"/>
      <c r="E39" s="27">
        <f t="shared" si="0"/>
        <v>365.00144298448447</v>
      </c>
      <c r="F39" s="27">
        <f t="shared" si="1"/>
        <v>365</v>
      </c>
      <c r="G39" s="27">
        <f t="shared" si="2"/>
        <v>1.1025500003597699E-2</v>
      </c>
      <c r="I39" s="27">
        <f t="shared" si="9"/>
        <v>1.1025500003597699E-2</v>
      </c>
      <c r="O39" s="27">
        <f t="shared" ca="1" si="7"/>
        <v>-8.3218475608199749E-4</v>
      </c>
      <c r="P39" s="27">
        <f t="shared" ca="1" si="4"/>
        <v>1.8467124681791593</v>
      </c>
      <c r="Q39" s="52">
        <f t="shared" si="5"/>
        <v>29983.154000000002</v>
      </c>
      <c r="R39" s="27">
        <f t="shared" si="8"/>
        <v>1.1025500003597699E-2</v>
      </c>
      <c r="AA39" s="27" t="s">
        <v>24</v>
      </c>
      <c r="AG39" s="27" t="s">
        <v>23</v>
      </c>
    </row>
    <row r="40" spans="1:33" s="27" customFormat="1" ht="12.95" customHeight="1" x14ac:dyDescent="0.2">
      <c r="A40" s="53" t="s">
        <v>35</v>
      </c>
      <c r="B40" s="3"/>
      <c r="C40" s="7">
        <v>45259.449000000001</v>
      </c>
      <c r="D40" s="7"/>
      <c r="E40" s="27">
        <f t="shared" si="0"/>
        <v>398.74088201132571</v>
      </c>
      <c r="F40" s="27">
        <f t="shared" si="1"/>
        <v>398.5</v>
      </c>
      <c r="G40" s="27">
        <f t="shared" si="2"/>
        <v>1.8405219500054955</v>
      </c>
      <c r="I40" s="27">
        <f t="shared" si="9"/>
        <v>1.8405219500054955</v>
      </c>
      <c r="O40" s="27">
        <f t="shared" ca="1" si="7"/>
        <v>-1.1851747382475492E-3</v>
      </c>
      <c r="P40" s="27">
        <f t="shared" ca="1" si="4"/>
        <v>1.8456751232445578</v>
      </c>
      <c r="Q40" s="52">
        <f t="shared" si="5"/>
        <v>30240.949000000001</v>
      </c>
      <c r="S40" s="27">
        <f>G40</f>
        <v>1.8405219500054955</v>
      </c>
      <c r="AA40" s="27" t="s">
        <v>24</v>
      </c>
      <c r="AG40" s="27" t="s">
        <v>23</v>
      </c>
    </row>
    <row r="41" spans="1:33" s="27" customFormat="1" ht="12.95" customHeight="1" x14ac:dyDescent="0.2">
      <c r="A41" s="53" t="s">
        <v>35</v>
      </c>
      <c r="B41" s="3"/>
      <c r="C41" s="7">
        <v>45261.42</v>
      </c>
      <c r="D41" s="7"/>
      <c r="E41" s="27">
        <f t="shared" si="0"/>
        <v>398.99884059982367</v>
      </c>
      <c r="F41" s="27">
        <f t="shared" si="1"/>
        <v>399</v>
      </c>
      <c r="G41" s="27">
        <f t="shared" si="2"/>
        <v>-8.8586999991093762E-3</v>
      </c>
      <c r="I41" s="27">
        <f t="shared" si="9"/>
        <v>-8.8586999991093762E-3</v>
      </c>
      <c r="O41" s="27">
        <f t="shared" ca="1" si="7"/>
        <v>-1.1904432454440503E-3</v>
      </c>
      <c r="P41" s="27">
        <f t="shared" ca="1" si="4"/>
        <v>1.8456596404843399</v>
      </c>
      <c r="Q41" s="52">
        <f t="shared" si="5"/>
        <v>30242.92</v>
      </c>
      <c r="R41" s="27">
        <f>G41</f>
        <v>-8.8586999991093762E-3</v>
      </c>
      <c r="AA41" s="27" t="s">
        <v>24</v>
      </c>
      <c r="AG41" s="27" t="s">
        <v>23</v>
      </c>
    </row>
    <row r="42" spans="1:33" s="27" customFormat="1" ht="12.95" customHeight="1" x14ac:dyDescent="0.2">
      <c r="A42" s="53" t="s">
        <v>35</v>
      </c>
      <c r="B42" s="3"/>
      <c r="C42" s="7">
        <v>45406.605000000003</v>
      </c>
      <c r="D42" s="7"/>
      <c r="E42" s="27">
        <f t="shared" si="0"/>
        <v>418.00021942839732</v>
      </c>
      <c r="F42" s="27">
        <f t="shared" si="1"/>
        <v>418</v>
      </c>
      <c r="G42" s="27">
        <f t="shared" si="2"/>
        <v>1.676600004429929E-3</v>
      </c>
      <c r="I42" s="27">
        <f t="shared" si="9"/>
        <v>1.676600004429929E-3</v>
      </c>
      <c r="O42" s="27">
        <f t="shared" ca="1" si="7"/>
        <v>-1.3906465189110801E-3</v>
      </c>
      <c r="P42" s="27">
        <f t="shared" ca="1" si="4"/>
        <v>1.8450712955960586</v>
      </c>
      <c r="Q42" s="52">
        <f t="shared" si="5"/>
        <v>30388.105000000003</v>
      </c>
      <c r="R42" s="27">
        <f>G42</f>
        <v>1.676600004429929E-3</v>
      </c>
      <c r="AA42" s="27" t="s">
        <v>24</v>
      </c>
      <c r="AG42" s="27" t="s">
        <v>23</v>
      </c>
    </row>
    <row r="43" spans="1:33" s="27" customFormat="1" ht="12.95" customHeight="1" x14ac:dyDescent="0.2">
      <c r="A43" s="53" t="s">
        <v>36</v>
      </c>
      <c r="B43" s="3"/>
      <c r="C43" s="7">
        <v>45689.305999999997</v>
      </c>
      <c r="D43" s="7"/>
      <c r="E43" s="27">
        <f t="shared" si="0"/>
        <v>454.99928128889457</v>
      </c>
      <c r="F43" s="27">
        <f t="shared" si="1"/>
        <v>455</v>
      </c>
      <c r="G43" s="27">
        <f t="shared" si="2"/>
        <v>-5.491500000061933E-3</v>
      </c>
      <c r="I43" s="27">
        <f t="shared" si="9"/>
        <v>-5.491500000061933E-3</v>
      </c>
      <c r="O43" s="27">
        <f t="shared" ca="1" si="7"/>
        <v>-1.7805160514521375E-3</v>
      </c>
      <c r="P43" s="27">
        <f t="shared" ca="1" si="4"/>
        <v>1.8439255713399316</v>
      </c>
      <c r="Q43" s="52">
        <f t="shared" si="5"/>
        <v>30670.805999999997</v>
      </c>
      <c r="R43" s="27">
        <f>G43</f>
        <v>-5.491500000061933E-3</v>
      </c>
      <c r="AA43" s="27" t="s">
        <v>24</v>
      </c>
      <c r="AG43" s="27" t="s">
        <v>23</v>
      </c>
    </row>
    <row r="44" spans="1:33" s="27" customFormat="1" ht="12.95" customHeight="1" x14ac:dyDescent="0.2">
      <c r="A44" s="53" t="s">
        <v>37</v>
      </c>
      <c r="B44" s="3"/>
      <c r="C44" s="7">
        <v>45834.481</v>
      </c>
      <c r="D44" s="7"/>
      <c r="E44" s="27">
        <f t="shared" si="0"/>
        <v>473.99935134735892</v>
      </c>
      <c r="F44" s="27">
        <f t="shared" si="1"/>
        <v>474</v>
      </c>
      <c r="G44" s="27">
        <f t="shared" si="2"/>
        <v>-4.9561999985598959E-3</v>
      </c>
      <c r="I44" s="27">
        <f t="shared" si="9"/>
        <v>-4.9561999985598959E-3</v>
      </c>
      <c r="O44" s="27">
        <f t="shared" ca="1" si="7"/>
        <v>-1.9807193249191672E-3</v>
      </c>
      <c r="P44" s="27">
        <f t="shared" ca="1" si="4"/>
        <v>1.8433372264516501</v>
      </c>
      <c r="Q44" s="52">
        <f t="shared" si="5"/>
        <v>30815.981</v>
      </c>
      <c r="R44" s="27">
        <f>G44</f>
        <v>-4.9561999985598959E-3</v>
      </c>
      <c r="AA44" s="27" t="s">
        <v>24</v>
      </c>
      <c r="AG44" s="27" t="s">
        <v>23</v>
      </c>
    </row>
    <row r="45" spans="1:33" s="27" customFormat="1" ht="12.95" customHeight="1" x14ac:dyDescent="0.2">
      <c r="A45" s="53" t="s">
        <v>38</v>
      </c>
      <c r="B45" s="3" t="s">
        <v>55</v>
      </c>
      <c r="C45" s="7">
        <v>46023.565999999999</v>
      </c>
      <c r="D45" s="7"/>
      <c r="E45" s="27">
        <f t="shared" si="0"/>
        <v>498.74623095476124</v>
      </c>
      <c r="F45" s="27">
        <f t="shared" si="1"/>
        <v>498.5</v>
      </c>
      <c r="G45" s="27">
        <f t="shared" si="2"/>
        <v>1.8813919500025804</v>
      </c>
      <c r="I45" s="27">
        <f t="shared" si="9"/>
        <v>1.8813919500025804</v>
      </c>
      <c r="O45" s="27">
        <f t="shared" ca="1" si="7"/>
        <v>-2.2388761775477052E-3</v>
      </c>
      <c r="P45" s="27">
        <f t="shared" ca="1" si="4"/>
        <v>1.8425785712009715</v>
      </c>
      <c r="Q45" s="52">
        <f t="shared" si="5"/>
        <v>31005.065999999999</v>
      </c>
      <c r="S45" s="27">
        <f>G45</f>
        <v>1.8813919500025804</v>
      </c>
      <c r="AA45" s="27" t="s">
        <v>24</v>
      </c>
      <c r="AG45" s="27" t="s">
        <v>23</v>
      </c>
    </row>
    <row r="46" spans="1:33" s="27" customFormat="1" ht="12.95" customHeight="1" x14ac:dyDescent="0.2">
      <c r="A46" s="53" t="s">
        <v>39</v>
      </c>
      <c r="B46" s="3"/>
      <c r="C46" s="7">
        <v>46094.258000000002</v>
      </c>
      <c r="D46" s="7"/>
      <c r="E46" s="27">
        <f t="shared" si="0"/>
        <v>507.99818860981884</v>
      </c>
      <c r="F46" s="27">
        <f t="shared" si="1"/>
        <v>508</v>
      </c>
      <c r="G46" s="27">
        <f t="shared" si="2"/>
        <v>-1.3840399995387997E-2</v>
      </c>
      <c r="I46" s="27">
        <f t="shared" si="9"/>
        <v>-1.3840399995387997E-2</v>
      </c>
      <c r="O46" s="27">
        <f t="shared" ca="1" si="7"/>
        <v>-2.33897781428122E-3</v>
      </c>
      <c r="P46" s="27">
        <f t="shared" ca="1" si="4"/>
        <v>1.8422843987568309</v>
      </c>
      <c r="Q46" s="52">
        <f t="shared" si="5"/>
        <v>31075.758000000002</v>
      </c>
      <c r="R46" s="27">
        <f t="shared" ref="R46:R54" si="10">G46</f>
        <v>-1.3840399995387997E-2</v>
      </c>
      <c r="AA46" s="27" t="s">
        <v>24</v>
      </c>
      <c r="AG46" s="27" t="s">
        <v>23</v>
      </c>
    </row>
    <row r="47" spans="1:33" s="27" customFormat="1" ht="12.95" customHeight="1" x14ac:dyDescent="0.2">
      <c r="A47" s="53" t="s">
        <v>39</v>
      </c>
      <c r="B47" s="3"/>
      <c r="C47" s="7">
        <v>46216.517</v>
      </c>
      <c r="D47" s="7"/>
      <c r="E47" s="27">
        <f t="shared" si="0"/>
        <v>523.99908108633133</v>
      </c>
      <c r="F47" s="27">
        <f t="shared" si="1"/>
        <v>524</v>
      </c>
      <c r="G47" s="27">
        <f t="shared" si="2"/>
        <v>-7.0211999991443008E-3</v>
      </c>
      <c r="I47" s="27">
        <f t="shared" si="9"/>
        <v>-7.0211999991443008E-3</v>
      </c>
      <c r="O47" s="27">
        <f t="shared" ca="1" si="7"/>
        <v>-2.5075700445692443E-3</v>
      </c>
      <c r="P47" s="27">
        <f t="shared" ca="1" si="4"/>
        <v>1.841788950429857</v>
      </c>
      <c r="Q47" s="52">
        <f t="shared" si="5"/>
        <v>31198.017</v>
      </c>
      <c r="R47" s="27">
        <f t="shared" si="10"/>
        <v>-7.0211999991443008E-3</v>
      </c>
      <c r="AA47" s="27" t="s">
        <v>24</v>
      </c>
      <c r="AG47" s="27" t="s">
        <v>23</v>
      </c>
    </row>
    <row r="48" spans="1:33" s="27" customFormat="1" ht="12.95" customHeight="1" x14ac:dyDescent="0.2">
      <c r="A48" s="53" t="s">
        <v>38</v>
      </c>
      <c r="B48" s="3"/>
      <c r="C48" s="7">
        <v>46247.09</v>
      </c>
      <c r="D48" s="7"/>
      <c r="E48" s="27">
        <f t="shared" si="0"/>
        <v>528.00038394079911</v>
      </c>
      <c r="F48" s="27">
        <f t="shared" si="1"/>
        <v>528</v>
      </c>
      <c r="G48" s="27">
        <f t="shared" si="2"/>
        <v>2.9336000006878749E-3</v>
      </c>
      <c r="I48" s="27">
        <f t="shared" si="9"/>
        <v>2.9336000006878749E-3</v>
      </c>
      <c r="O48" s="27">
        <f t="shared" ca="1" si="7"/>
        <v>-2.549718102141251E-3</v>
      </c>
      <c r="P48" s="27">
        <f t="shared" ca="1" si="4"/>
        <v>1.8416650883481136</v>
      </c>
      <c r="Q48" s="52">
        <f t="shared" si="5"/>
        <v>31228.589999999997</v>
      </c>
      <c r="R48" s="27">
        <f t="shared" si="10"/>
        <v>2.9336000006878749E-3</v>
      </c>
      <c r="AA48" s="27" t="s">
        <v>24</v>
      </c>
      <c r="AG48" s="27" t="s">
        <v>23</v>
      </c>
    </row>
    <row r="49" spans="1:33" s="27" customFormat="1" ht="12.95" customHeight="1" x14ac:dyDescent="0.2">
      <c r="A49" s="53" t="s">
        <v>40</v>
      </c>
      <c r="B49" s="3"/>
      <c r="C49" s="7">
        <v>46346.421000000002</v>
      </c>
      <c r="D49" s="7"/>
      <c r="E49" s="27">
        <f t="shared" si="0"/>
        <v>541.0005283112306</v>
      </c>
      <c r="F49" s="27">
        <f t="shared" si="1"/>
        <v>541</v>
      </c>
      <c r="G49" s="27">
        <f t="shared" si="2"/>
        <v>4.0367000037804246E-3</v>
      </c>
      <c r="I49" s="27">
        <f t="shared" si="9"/>
        <v>4.0367000037804246E-3</v>
      </c>
      <c r="O49" s="27">
        <f t="shared" ca="1" si="7"/>
        <v>-2.6866992892502707E-3</v>
      </c>
      <c r="P49" s="27">
        <f t="shared" ca="1" si="4"/>
        <v>1.8412625365824473</v>
      </c>
      <c r="Q49" s="52">
        <f t="shared" si="5"/>
        <v>31327.921000000002</v>
      </c>
      <c r="R49" s="27">
        <f t="shared" si="10"/>
        <v>4.0367000037804246E-3</v>
      </c>
      <c r="AA49" s="27" t="s">
        <v>24</v>
      </c>
      <c r="AG49" s="27" t="s">
        <v>23</v>
      </c>
    </row>
    <row r="50" spans="1:33" s="27" customFormat="1" ht="12.95" customHeight="1" x14ac:dyDescent="0.2">
      <c r="A50" s="53" t="s">
        <v>41</v>
      </c>
      <c r="B50" s="3"/>
      <c r="C50" s="7">
        <v>46644.415999999997</v>
      </c>
      <c r="D50" s="7"/>
      <c r="E50" s="27">
        <f t="shared" si="0"/>
        <v>580.00122317654393</v>
      </c>
      <c r="F50" s="27">
        <f t="shared" si="1"/>
        <v>580</v>
      </c>
      <c r="G50" s="27">
        <f t="shared" si="2"/>
        <v>9.3459999989136122E-3</v>
      </c>
      <c r="I50" s="27">
        <f t="shared" si="9"/>
        <v>9.3459999989136122E-3</v>
      </c>
      <c r="O50" s="27">
        <f t="shared" ca="1" si="7"/>
        <v>-3.0976428505773315E-3</v>
      </c>
      <c r="P50" s="27">
        <f t="shared" ca="1" si="4"/>
        <v>1.8400548812854487</v>
      </c>
      <c r="Q50" s="52">
        <f t="shared" si="5"/>
        <v>31625.915999999997</v>
      </c>
      <c r="R50" s="27">
        <f t="shared" si="10"/>
        <v>9.3459999989136122E-3</v>
      </c>
      <c r="AA50" s="27" t="s">
        <v>24</v>
      </c>
      <c r="AG50" s="27" t="s">
        <v>23</v>
      </c>
    </row>
    <row r="51" spans="1:33" s="27" customFormat="1" ht="12.95" customHeight="1" x14ac:dyDescent="0.2">
      <c r="A51" s="53" t="s">
        <v>41</v>
      </c>
      <c r="B51" s="3"/>
      <c r="C51" s="7">
        <v>46667.334999999999</v>
      </c>
      <c r="D51" s="7" t="s">
        <v>28</v>
      </c>
      <c r="E51" s="27">
        <f t="shared" si="0"/>
        <v>583.0007933895281</v>
      </c>
      <c r="F51" s="27">
        <f t="shared" si="1"/>
        <v>583</v>
      </c>
      <c r="G51" s="27">
        <f t="shared" si="2"/>
        <v>6.0621000011451542E-3</v>
      </c>
      <c r="I51" s="27">
        <f t="shared" si="9"/>
        <v>6.0621000011451542E-3</v>
      </c>
      <c r="O51" s="27">
        <f t="shared" ca="1" si="7"/>
        <v>-3.1292538937563361E-3</v>
      </c>
      <c r="P51" s="27">
        <f t="shared" ca="1" si="4"/>
        <v>1.8399619847241411</v>
      </c>
      <c r="Q51" s="52">
        <f t="shared" si="5"/>
        <v>31648.834999999999</v>
      </c>
      <c r="R51" s="27">
        <f t="shared" si="10"/>
        <v>6.0621000011451542E-3</v>
      </c>
      <c r="AA51" s="27" t="s">
        <v>24</v>
      </c>
      <c r="AG51" s="27" t="s">
        <v>23</v>
      </c>
    </row>
    <row r="52" spans="1:33" s="27" customFormat="1" ht="12.95" customHeight="1" x14ac:dyDescent="0.2">
      <c r="A52" s="53" t="s">
        <v>41</v>
      </c>
      <c r="B52" s="3"/>
      <c r="C52" s="7">
        <v>46751.364999999998</v>
      </c>
      <c r="D52" s="7"/>
      <c r="E52" s="27">
        <f t="shared" si="0"/>
        <v>593.99838861606645</v>
      </c>
      <c r="F52" s="27">
        <f t="shared" si="1"/>
        <v>594</v>
      </c>
      <c r="G52" s="27">
        <f t="shared" si="2"/>
        <v>-1.2312200000451412E-2</v>
      </c>
      <c r="I52" s="27">
        <f t="shared" si="9"/>
        <v>-1.2312200000451412E-2</v>
      </c>
      <c r="O52" s="27">
        <f t="shared" ca="1" si="7"/>
        <v>-3.2451610520793533E-3</v>
      </c>
      <c r="P52" s="27">
        <f t="shared" ca="1" si="4"/>
        <v>1.8396213639993466</v>
      </c>
      <c r="Q52" s="52">
        <f t="shared" si="5"/>
        <v>31732.864999999998</v>
      </c>
      <c r="R52" s="27">
        <f t="shared" si="10"/>
        <v>-1.2312200000451412E-2</v>
      </c>
      <c r="AA52" s="27" t="s">
        <v>24</v>
      </c>
      <c r="AG52" s="27" t="s">
        <v>23</v>
      </c>
    </row>
    <row r="53" spans="1:33" s="27" customFormat="1" ht="12.95" customHeight="1" x14ac:dyDescent="0.2">
      <c r="A53" s="53" t="s">
        <v>43</v>
      </c>
      <c r="B53" s="3"/>
      <c r="C53" s="7">
        <v>47003.538</v>
      </c>
      <c r="D53" s="7">
        <v>1.6E-2</v>
      </c>
      <c r="E53" s="27">
        <f t="shared" ref="E53:E78" si="11">+(C53-C$7)/C$8</f>
        <v>627.0020370875875</v>
      </c>
      <c r="F53" s="27">
        <f t="shared" ref="F53:F81" si="12">ROUND(2*E53,0)/2</f>
        <v>627</v>
      </c>
      <c r="G53" s="27">
        <f t="shared" ref="G53:G78" si="13">+C53-(C$7+F53*C$8)</f>
        <v>1.5564900000754278E-2</v>
      </c>
      <c r="I53" s="27">
        <f t="shared" si="9"/>
        <v>1.5564900000754278E-2</v>
      </c>
      <c r="O53" s="27">
        <f t="shared" ca="1" si="7"/>
        <v>-3.5928825270484049E-3</v>
      </c>
      <c r="P53" s="27">
        <f t="shared" ref="P53:P78" ca="1" si="14">+D$11+D$12*F53</f>
        <v>1.838599501824963</v>
      </c>
      <c r="Q53" s="52">
        <f t="shared" ref="Q53:Q78" si="15">+C53-15018.5</f>
        <v>31985.038</v>
      </c>
      <c r="R53" s="27">
        <f t="shared" si="10"/>
        <v>1.5564900000754278E-2</v>
      </c>
      <c r="AA53" s="27" t="s">
        <v>24</v>
      </c>
      <c r="AC53" s="27">
        <v>15</v>
      </c>
      <c r="AE53" s="27" t="s">
        <v>42</v>
      </c>
      <c r="AG53" s="27" t="s">
        <v>32</v>
      </c>
    </row>
    <row r="54" spans="1:33" s="27" customFormat="1" ht="12.95" customHeight="1" x14ac:dyDescent="0.2">
      <c r="A54" s="53" t="s">
        <v>43</v>
      </c>
      <c r="B54" s="3"/>
      <c r="C54" s="7">
        <v>47026.449000000001</v>
      </c>
      <c r="D54" s="7">
        <v>1.9E-2</v>
      </c>
      <c r="E54" s="27">
        <f t="shared" si="11"/>
        <v>630.0005602844841</v>
      </c>
      <c r="F54" s="27">
        <f t="shared" si="12"/>
        <v>630</v>
      </c>
      <c r="G54" s="27">
        <f t="shared" si="13"/>
        <v>4.2810000013560057E-3</v>
      </c>
      <c r="I54" s="27">
        <f t="shared" si="9"/>
        <v>4.2810000013560057E-3</v>
      </c>
      <c r="O54" s="27">
        <f t="shared" ca="1" si="7"/>
        <v>-3.6244935702274095E-3</v>
      </c>
      <c r="P54" s="27">
        <f t="shared" ca="1" si="14"/>
        <v>1.8385066052636554</v>
      </c>
      <c r="Q54" s="52">
        <f t="shared" si="15"/>
        <v>32007.949000000001</v>
      </c>
      <c r="R54" s="27">
        <f t="shared" si="10"/>
        <v>4.2810000013560057E-3</v>
      </c>
      <c r="AA54" s="27" t="s">
        <v>24</v>
      </c>
      <c r="AC54" s="27">
        <v>20</v>
      </c>
      <c r="AE54" s="27" t="s">
        <v>42</v>
      </c>
      <c r="AG54" s="27" t="s">
        <v>32</v>
      </c>
    </row>
    <row r="55" spans="1:33" s="27" customFormat="1" ht="12.95" customHeight="1" x14ac:dyDescent="0.2">
      <c r="A55" s="53" t="s">
        <v>44</v>
      </c>
      <c r="B55" s="3" t="s">
        <v>54</v>
      </c>
      <c r="C55" s="7">
        <v>47085.591</v>
      </c>
      <c r="D55" s="7"/>
      <c r="E55" s="27">
        <f t="shared" si="11"/>
        <v>637.74088846356233</v>
      </c>
      <c r="F55" s="27">
        <f t="shared" si="12"/>
        <v>637.5</v>
      </c>
      <c r="G55" s="27">
        <f t="shared" si="13"/>
        <v>1.8405712500025402</v>
      </c>
      <c r="J55" s="27">
        <f>+G55</f>
        <v>1.8405712500025402</v>
      </c>
      <c r="O55" s="27">
        <f t="shared" ca="1" si="7"/>
        <v>-3.703521178174921E-3</v>
      </c>
      <c r="P55" s="27">
        <f t="shared" ca="1" si="14"/>
        <v>1.8382743638603865</v>
      </c>
      <c r="Q55" s="52">
        <f t="shared" si="15"/>
        <v>32067.091</v>
      </c>
      <c r="S55" s="27">
        <f>G55</f>
        <v>1.8405712500025402</v>
      </c>
      <c r="AA55" s="27" t="s">
        <v>22</v>
      </c>
      <c r="AG55" s="27" t="s">
        <v>23</v>
      </c>
    </row>
    <row r="56" spans="1:33" s="27" customFormat="1" ht="12.95" customHeight="1" x14ac:dyDescent="0.2">
      <c r="A56" s="53" t="s">
        <v>44</v>
      </c>
      <c r="B56" s="3"/>
      <c r="C56" s="7">
        <v>47087.566899999998</v>
      </c>
      <c r="D56" s="7"/>
      <c r="E56" s="27">
        <f t="shared" si="11"/>
        <v>637.9994883494137</v>
      </c>
      <c r="F56" s="27">
        <f t="shared" si="12"/>
        <v>638</v>
      </c>
      <c r="G56" s="27">
        <f t="shared" si="13"/>
        <v>-3.9094000021577813E-3</v>
      </c>
      <c r="J56" s="27">
        <f>+G56</f>
        <v>-3.9094000021577813E-3</v>
      </c>
      <c r="O56" s="27">
        <f t="shared" ca="1" si="7"/>
        <v>-3.708789685371422E-3</v>
      </c>
      <c r="P56" s="27">
        <f t="shared" ca="1" si="14"/>
        <v>1.8382588811001686</v>
      </c>
      <c r="Q56" s="52">
        <f t="shared" si="15"/>
        <v>32069.066899999998</v>
      </c>
      <c r="R56" s="27">
        <f t="shared" ref="R56:R62" si="16">G56</f>
        <v>-3.9094000021577813E-3</v>
      </c>
      <c r="AA56" s="27" t="s">
        <v>22</v>
      </c>
      <c r="AG56" s="27" t="s">
        <v>23</v>
      </c>
    </row>
    <row r="57" spans="1:33" s="27" customFormat="1" ht="12.95" customHeight="1" x14ac:dyDescent="0.2">
      <c r="A57" s="53" t="s">
        <v>45</v>
      </c>
      <c r="B57" s="3"/>
      <c r="C57" s="7">
        <v>47408.4784</v>
      </c>
      <c r="D57" s="7"/>
      <c r="E57" s="27">
        <f t="shared" si="11"/>
        <v>679.9994262351845</v>
      </c>
      <c r="F57" s="27">
        <f t="shared" si="12"/>
        <v>680</v>
      </c>
      <c r="G57" s="27">
        <f t="shared" si="13"/>
        <v>-4.3839999998454005E-3</v>
      </c>
      <c r="J57" s="27">
        <f>+G57</f>
        <v>-4.3839999998454005E-3</v>
      </c>
      <c r="O57" s="27">
        <f t="shared" ca="1" si="7"/>
        <v>-4.1513442898774861E-3</v>
      </c>
      <c r="P57" s="27">
        <f t="shared" ca="1" si="14"/>
        <v>1.8369583292418623</v>
      </c>
      <c r="Q57" s="52">
        <f t="shared" si="15"/>
        <v>32389.9784</v>
      </c>
      <c r="R57" s="27">
        <f t="shared" si="16"/>
        <v>-4.3839999998454005E-3</v>
      </c>
      <c r="AA57" s="27" t="s">
        <v>22</v>
      </c>
      <c r="AG57" s="27" t="s">
        <v>23</v>
      </c>
    </row>
    <row r="58" spans="1:33" s="27" customFormat="1" ht="12.95" customHeight="1" x14ac:dyDescent="0.2">
      <c r="A58" s="26" t="s">
        <v>230</v>
      </c>
      <c r="B58" s="24" t="s">
        <v>62</v>
      </c>
      <c r="C58" s="25">
        <v>47790.516000000003</v>
      </c>
      <c r="D58" s="25" t="s">
        <v>84</v>
      </c>
      <c r="E58" s="27">
        <f t="shared" si="11"/>
        <v>729.99936537737494</v>
      </c>
      <c r="F58" s="27">
        <f t="shared" si="12"/>
        <v>730</v>
      </c>
      <c r="G58" s="27">
        <f t="shared" si="13"/>
        <v>-4.8489999899175018E-3</v>
      </c>
      <c r="I58" s="27">
        <f>+G58</f>
        <v>-4.8489999899175018E-3</v>
      </c>
      <c r="O58" s="27">
        <f t="shared" ca="1" si="7"/>
        <v>-4.6781950095275641E-3</v>
      </c>
      <c r="P58" s="27">
        <f t="shared" ca="1" si="14"/>
        <v>1.835410053220069</v>
      </c>
      <c r="Q58" s="52">
        <f t="shared" si="15"/>
        <v>32772.016000000003</v>
      </c>
      <c r="R58" s="27">
        <f t="shared" si="16"/>
        <v>-4.8489999899175018E-3</v>
      </c>
    </row>
    <row r="59" spans="1:33" s="27" customFormat="1" ht="12.95" customHeight="1" x14ac:dyDescent="0.2">
      <c r="A59" s="5" t="s">
        <v>46</v>
      </c>
      <c r="B59" s="3" t="s">
        <v>62</v>
      </c>
      <c r="C59" s="7">
        <v>48019.737999999998</v>
      </c>
      <c r="D59" s="7">
        <v>1.1E-4</v>
      </c>
      <c r="E59" s="27">
        <f t="shared" si="11"/>
        <v>759.999255571562</v>
      </c>
      <c r="F59" s="27">
        <f t="shared" si="12"/>
        <v>760</v>
      </c>
      <c r="G59" s="27">
        <f t="shared" si="13"/>
        <v>-5.6879999974626116E-3</v>
      </c>
      <c r="J59" s="27">
        <f t="shared" ref="J59:J68" si="17">+G59</f>
        <v>-5.6879999974626116E-3</v>
      </c>
      <c r="O59" s="27">
        <f t="shared" ca="1" si="7"/>
        <v>-4.9943054413176102E-3</v>
      </c>
      <c r="P59" s="27">
        <f t="shared" ca="1" si="14"/>
        <v>1.834481087606993</v>
      </c>
      <c r="Q59" s="52">
        <f t="shared" si="15"/>
        <v>33001.237999999998</v>
      </c>
      <c r="R59" s="27">
        <f t="shared" si="16"/>
        <v>-5.6879999974626116E-3</v>
      </c>
    </row>
    <row r="60" spans="1:33" s="27" customFormat="1" ht="12.95" customHeight="1" x14ac:dyDescent="0.2">
      <c r="A60" s="5" t="s">
        <v>47</v>
      </c>
      <c r="B60" s="3" t="s">
        <v>62</v>
      </c>
      <c r="C60" s="7">
        <v>48409.417500000003</v>
      </c>
      <c r="D60" s="7"/>
      <c r="E60" s="27">
        <f t="shared" si="11"/>
        <v>810.99934374340501</v>
      </c>
      <c r="F60" s="27">
        <f t="shared" si="12"/>
        <v>811</v>
      </c>
      <c r="G60" s="27">
        <f t="shared" si="13"/>
        <v>-5.0142999898525886E-3</v>
      </c>
      <c r="J60" s="27">
        <f t="shared" si="17"/>
        <v>-5.0142999898525886E-3</v>
      </c>
      <c r="O60" s="27">
        <f t="shared" ca="1" si="7"/>
        <v>-5.5316931753606902E-3</v>
      </c>
      <c r="P60" s="27">
        <f t="shared" ca="1" si="14"/>
        <v>1.8329018460647641</v>
      </c>
      <c r="Q60" s="52">
        <f t="shared" si="15"/>
        <v>33390.917500000003</v>
      </c>
      <c r="R60" s="27">
        <f t="shared" si="16"/>
        <v>-5.0142999898525886E-3</v>
      </c>
    </row>
    <row r="61" spans="1:33" s="27" customFormat="1" ht="12.95" customHeight="1" x14ac:dyDescent="0.2">
      <c r="A61" s="5" t="s">
        <v>47</v>
      </c>
      <c r="B61" s="3" t="s">
        <v>62</v>
      </c>
      <c r="C61" s="7">
        <v>48409.417600000001</v>
      </c>
      <c r="D61" s="7"/>
      <c r="E61" s="27">
        <f t="shared" si="11"/>
        <v>810.99935683110573</v>
      </c>
      <c r="F61" s="27">
        <f t="shared" si="12"/>
        <v>811</v>
      </c>
      <c r="G61" s="27">
        <f t="shared" si="13"/>
        <v>-4.9142999923788011E-3</v>
      </c>
      <c r="J61" s="27">
        <f t="shared" si="17"/>
        <v>-4.9142999923788011E-3</v>
      </c>
      <c r="O61" s="27">
        <f t="shared" ref="O61:O78" ca="1" si="18">+C$11+C$12*F61</f>
        <v>-5.5316931753606902E-3</v>
      </c>
      <c r="P61" s="27">
        <f t="shared" ca="1" si="14"/>
        <v>1.8329018460647641</v>
      </c>
      <c r="Q61" s="52">
        <f t="shared" si="15"/>
        <v>33390.917600000001</v>
      </c>
      <c r="R61" s="27">
        <f t="shared" si="16"/>
        <v>-4.9142999923788011E-3</v>
      </c>
    </row>
    <row r="62" spans="1:33" s="27" customFormat="1" ht="12.95" customHeight="1" x14ac:dyDescent="0.2">
      <c r="A62" s="53" t="s">
        <v>49</v>
      </c>
      <c r="B62" s="3"/>
      <c r="C62" s="7">
        <v>48409.4185</v>
      </c>
      <c r="D62" s="7"/>
      <c r="E62" s="27">
        <f t="shared" si="11"/>
        <v>810.99947462041541</v>
      </c>
      <c r="F62" s="27">
        <f t="shared" si="12"/>
        <v>811</v>
      </c>
      <c r="G62" s="27">
        <f t="shared" si="13"/>
        <v>-4.0142999932868406E-3</v>
      </c>
      <c r="J62" s="27">
        <f t="shared" si="17"/>
        <v>-4.0142999932868406E-3</v>
      </c>
      <c r="O62" s="27">
        <f t="shared" ca="1" si="18"/>
        <v>-5.5316931753606902E-3</v>
      </c>
      <c r="P62" s="27">
        <f t="shared" ca="1" si="14"/>
        <v>1.8329018460647641</v>
      </c>
      <c r="Q62" s="52">
        <f t="shared" si="15"/>
        <v>33390.9185</v>
      </c>
      <c r="R62" s="27">
        <f t="shared" si="16"/>
        <v>-4.0142999932868406E-3</v>
      </c>
      <c r="AA62" s="27" t="s">
        <v>22</v>
      </c>
      <c r="AB62" s="27" t="s">
        <v>48</v>
      </c>
      <c r="AG62" s="27" t="s">
        <v>23</v>
      </c>
    </row>
    <row r="63" spans="1:33" s="27" customFormat="1" ht="12.95" customHeight="1" x14ac:dyDescent="0.2">
      <c r="A63" s="53" t="s">
        <v>47</v>
      </c>
      <c r="B63" s="3" t="s">
        <v>54</v>
      </c>
      <c r="C63" s="7">
        <v>48430.358999999997</v>
      </c>
      <c r="D63" s="7"/>
      <c r="E63" s="27">
        <f t="shared" si="11"/>
        <v>813.74010466731886</v>
      </c>
      <c r="F63" s="27">
        <f t="shared" si="12"/>
        <v>813.5</v>
      </c>
      <c r="G63" s="27">
        <f t="shared" si="13"/>
        <v>1.8345824499992887</v>
      </c>
      <c r="J63" s="27">
        <f t="shared" si="17"/>
        <v>1.8345824499992887</v>
      </c>
      <c r="O63" s="27">
        <f t="shared" ca="1" si="18"/>
        <v>-5.5580357113431938E-3</v>
      </c>
      <c r="P63" s="27">
        <f t="shared" ca="1" si="14"/>
        <v>1.8328244322636744</v>
      </c>
      <c r="Q63" s="52">
        <f t="shared" si="15"/>
        <v>33411.858999999997</v>
      </c>
      <c r="S63" s="27">
        <f>G63</f>
        <v>1.8345824499992887</v>
      </c>
      <c r="AA63" s="27" t="s">
        <v>22</v>
      </c>
      <c r="AB63" s="27" t="s">
        <v>32</v>
      </c>
      <c r="AG63" s="27" t="s">
        <v>23</v>
      </c>
    </row>
    <row r="64" spans="1:33" s="27" customFormat="1" ht="12.95" customHeight="1" x14ac:dyDescent="0.2">
      <c r="A64" s="53" t="s">
        <v>47</v>
      </c>
      <c r="B64" s="3" t="s">
        <v>54</v>
      </c>
      <c r="C64" s="7">
        <v>48537.284599999999</v>
      </c>
      <c r="D64" s="7"/>
      <c r="E64" s="27">
        <f t="shared" si="11"/>
        <v>827.7342075847863</v>
      </c>
      <c r="F64" s="27">
        <f t="shared" si="12"/>
        <v>827.5</v>
      </c>
      <c r="G64" s="27">
        <f t="shared" si="13"/>
        <v>1.7895242500017048</v>
      </c>
      <c r="J64" s="27">
        <f t="shared" si="17"/>
        <v>1.7895242500017048</v>
      </c>
      <c r="O64" s="27">
        <f t="shared" ca="1" si="18"/>
        <v>-5.7055539128452164E-3</v>
      </c>
      <c r="P64" s="27">
        <f t="shared" ca="1" si="14"/>
        <v>1.8323909149775723</v>
      </c>
      <c r="Q64" s="52">
        <f t="shared" si="15"/>
        <v>33518.784599999999</v>
      </c>
      <c r="S64" s="27">
        <f>G64</f>
        <v>1.7895242500017048</v>
      </c>
      <c r="AA64" s="27" t="s">
        <v>22</v>
      </c>
      <c r="AB64" s="27" t="s">
        <v>48</v>
      </c>
      <c r="AG64" s="27" t="s">
        <v>23</v>
      </c>
    </row>
    <row r="65" spans="1:33" s="27" customFormat="1" ht="12.95" customHeight="1" x14ac:dyDescent="0.2">
      <c r="A65" s="53" t="s">
        <v>47</v>
      </c>
      <c r="B65" s="3" t="s">
        <v>54</v>
      </c>
      <c r="C65" s="7">
        <v>48537.288500000002</v>
      </c>
      <c r="D65" s="7"/>
      <c r="E65" s="27">
        <f t="shared" si="11"/>
        <v>827.73471800512937</v>
      </c>
      <c r="F65" s="27">
        <f t="shared" si="12"/>
        <v>827.5</v>
      </c>
      <c r="G65" s="27">
        <f t="shared" si="13"/>
        <v>1.7934242500050459</v>
      </c>
      <c r="J65" s="27">
        <f t="shared" si="17"/>
        <v>1.7934242500050459</v>
      </c>
      <c r="O65" s="27">
        <f t="shared" ca="1" si="18"/>
        <v>-5.7055539128452164E-3</v>
      </c>
      <c r="P65" s="27">
        <f t="shared" ca="1" si="14"/>
        <v>1.8323909149775723</v>
      </c>
      <c r="Q65" s="52">
        <f t="shared" si="15"/>
        <v>33518.788500000002</v>
      </c>
      <c r="S65" s="27">
        <f>G65</f>
        <v>1.7934242500050459</v>
      </c>
      <c r="AA65" s="27" t="s">
        <v>22</v>
      </c>
      <c r="AB65" s="27" t="s">
        <v>32</v>
      </c>
      <c r="AG65" s="27" t="s">
        <v>23</v>
      </c>
    </row>
    <row r="66" spans="1:33" s="27" customFormat="1" ht="12.95" customHeight="1" x14ac:dyDescent="0.2">
      <c r="A66" s="53" t="s">
        <v>51</v>
      </c>
      <c r="B66" s="3"/>
      <c r="C66" s="7">
        <v>48539.311800000003</v>
      </c>
      <c r="D66" s="7">
        <v>1E-3</v>
      </c>
      <c r="E66" s="27">
        <f t="shared" si="11"/>
        <v>827.99952146129806</v>
      </c>
      <c r="F66" s="27">
        <f t="shared" si="12"/>
        <v>828</v>
      </c>
      <c r="G66" s="27">
        <f t="shared" si="13"/>
        <v>-3.6563999965437688E-3</v>
      </c>
      <c r="J66" s="27">
        <f t="shared" si="17"/>
        <v>-3.6563999965437688E-3</v>
      </c>
      <c r="O66" s="27">
        <f t="shared" ca="1" si="18"/>
        <v>-5.7108224200417158E-3</v>
      </c>
      <c r="P66" s="27">
        <f t="shared" ca="1" si="14"/>
        <v>1.8323754322173544</v>
      </c>
      <c r="Q66" s="52">
        <f t="shared" si="15"/>
        <v>33520.811800000003</v>
      </c>
      <c r="R66" s="27">
        <f t="shared" ref="R66:R71" si="19">G66</f>
        <v>-3.6563999965437688E-3</v>
      </c>
      <c r="AA66" s="27" t="s">
        <v>22</v>
      </c>
      <c r="AB66" s="27" t="s">
        <v>32</v>
      </c>
      <c r="AC66" s="27">
        <v>28</v>
      </c>
      <c r="AE66" s="27" t="s">
        <v>50</v>
      </c>
      <c r="AG66" s="27" t="s">
        <v>32</v>
      </c>
    </row>
    <row r="67" spans="1:33" s="27" customFormat="1" ht="12.95" customHeight="1" x14ac:dyDescent="0.2">
      <c r="A67" s="5" t="s">
        <v>52</v>
      </c>
      <c r="B67" s="3" t="s">
        <v>62</v>
      </c>
      <c r="C67" s="7">
        <v>49234.614399999999</v>
      </c>
      <c r="D67" s="7">
        <v>5.9999999999999995E-4</v>
      </c>
      <c r="E67" s="27">
        <f t="shared" si="11"/>
        <v>918.99864742535556</v>
      </c>
      <c r="F67" s="27">
        <f t="shared" si="12"/>
        <v>919</v>
      </c>
      <c r="G67" s="27">
        <f t="shared" si="13"/>
        <v>-1.0334699996747077E-2</v>
      </c>
      <c r="J67" s="27">
        <f t="shared" si="17"/>
        <v>-1.0334699996747077E-2</v>
      </c>
      <c r="O67" s="27">
        <f t="shared" ca="1" si="18"/>
        <v>-6.6696907298048579E-3</v>
      </c>
      <c r="P67" s="27">
        <f t="shared" ca="1" si="14"/>
        <v>1.8295575698576907</v>
      </c>
      <c r="Q67" s="52">
        <f t="shared" si="15"/>
        <v>34216.114399999999</v>
      </c>
      <c r="R67" s="27">
        <f t="shared" si="19"/>
        <v>-1.0334699996747077E-2</v>
      </c>
    </row>
    <row r="68" spans="1:33" s="27" customFormat="1" ht="12.95" customHeight="1" x14ac:dyDescent="0.2">
      <c r="A68" s="53" t="s">
        <v>53</v>
      </c>
      <c r="B68" s="3"/>
      <c r="C68" s="7">
        <v>49303.378700000001</v>
      </c>
      <c r="D68" s="7"/>
      <c r="E68" s="27">
        <f t="shared" si="11"/>
        <v>927.99831346648716</v>
      </c>
      <c r="F68" s="27">
        <f t="shared" si="12"/>
        <v>928</v>
      </c>
      <c r="G68" s="27">
        <f t="shared" si="13"/>
        <v>-1.2886399999842979E-2</v>
      </c>
      <c r="J68" s="27">
        <f t="shared" si="17"/>
        <v>-1.2886399999842979E-2</v>
      </c>
      <c r="O68" s="27">
        <f t="shared" ca="1" si="18"/>
        <v>-6.7645238593418717E-3</v>
      </c>
      <c r="P68" s="27">
        <f t="shared" ca="1" si="14"/>
        <v>1.8292788801737681</v>
      </c>
      <c r="Q68" s="52">
        <f t="shared" si="15"/>
        <v>34284.878700000001</v>
      </c>
      <c r="R68" s="27">
        <f t="shared" si="19"/>
        <v>-1.2886399999842979E-2</v>
      </c>
      <c r="AA68" s="27" t="s">
        <v>22</v>
      </c>
      <c r="AG68" s="27" t="s">
        <v>23</v>
      </c>
    </row>
    <row r="69" spans="1:33" s="27" customFormat="1" ht="12.95" customHeight="1" x14ac:dyDescent="0.2">
      <c r="A69" s="26" t="s">
        <v>272</v>
      </c>
      <c r="B69" s="24" t="s">
        <v>62</v>
      </c>
      <c r="C69" s="25">
        <v>51427.512999999999</v>
      </c>
      <c r="D69" s="25" t="s">
        <v>84</v>
      </c>
      <c r="E69" s="27">
        <f t="shared" si="11"/>
        <v>1205.998661416108</v>
      </c>
      <c r="F69" s="27">
        <f t="shared" si="12"/>
        <v>1206</v>
      </c>
      <c r="G69" s="27">
        <f t="shared" si="13"/>
        <v>-1.0227799997664988E-2</v>
      </c>
      <c r="I69" s="27">
        <f>+G69</f>
        <v>-1.0227799997664988E-2</v>
      </c>
      <c r="O69" s="27">
        <f t="shared" ca="1" si="18"/>
        <v>-9.6938138605963033E-3</v>
      </c>
      <c r="P69" s="27">
        <f t="shared" ca="1" si="14"/>
        <v>1.8206704654925978</v>
      </c>
      <c r="Q69" s="52">
        <f t="shared" si="15"/>
        <v>36409.012999999999</v>
      </c>
      <c r="R69" s="27">
        <f t="shared" si="19"/>
        <v>-1.0227799997664988E-2</v>
      </c>
    </row>
    <row r="70" spans="1:33" s="27" customFormat="1" ht="12.95" customHeight="1" x14ac:dyDescent="0.2">
      <c r="A70" s="26" t="s">
        <v>276</v>
      </c>
      <c r="B70" s="24" t="s">
        <v>62</v>
      </c>
      <c r="C70" s="25">
        <v>51664.368999999999</v>
      </c>
      <c r="D70" s="25" t="s">
        <v>84</v>
      </c>
      <c r="E70" s="27">
        <f t="shared" si="11"/>
        <v>1236.997666711562</v>
      </c>
      <c r="F70" s="27">
        <f t="shared" si="12"/>
        <v>1237</v>
      </c>
      <c r="G70" s="27">
        <f t="shared" si="13"/>
        <v>-1.7828099997132085E-2</v>
      </c>
      <c r="I70" s="27">
        <f>+G70</f>
        <v>-1.7828099997132085E-2</v>
      </c>
      <c r="O70" s="27">
        <f t="shared" ca="1" si="18"/>
        <v>-1.0020461306779352E-2</v>
      </c>
      <c r="P70" s="27">
        <f t="shared" ca="1" si="14"/>
        <v>1.819710534359086</v>
      </c>
      <c r="Q70" s="52">
        <f t="shared" si="15"/>
        <v>36645.868999999999</v>
      </c>
      <c r="R70" s="27">
        <f t="shared" si="19"/>
        <v>-1.7828099997132085E-2</v>
      </c>
    </row>
    <row r="71" spans="1:33" s="27" customFormat="1" ht="12.95" customHeight="1" x14ac:dyDescent="0.2">
      <c r="A71" s="53" t="s">
        <v>63</v>
      </c>
      <c r="B71" s="3"/>
      <c r="C71" s="7">
        <v>51771.344100000002</v>
      </c>
      <c r="D71" s="7">
        <v>6.6E-4</v>
      </c>
      <c r="E71" s="27">
        <f t="shared" si="11"/>
        <v>1250.9982480410695</v>
      </c>
      <c r="F71" s="27">
        <f t="shared" si="12"/>
        <v>1251</v>
      </c>
      <c r="G71" s="27">
        <f t="shared" si="13"/>
        <v>-1.3386299993726425E-2</v>
      </c>
      <c r="J71" s="27">
        <f>+G71</f>
        <v>-1.3386299993726425E-2</v>
      </c>
      <c r="O71" s="27">
        <f t="shared" ca="1" si="18"/>
        <v>-1.0167979508281374E-2</v>
      </c>
      <c r="P71" s="27">
        <f t="shared" ca="1" si="14"/>
        <v>1.8192770170729839</v>
      </c>
      <c r="Q71" s="52">
        <f t="shared" si="15"/>
        <v>36752.844100000002</v>
      </c>
      <c r="R71" s="27">
        <f t="shared" si="19"/>
        <v>-1.3386299993726425E-2</v>
      </c>
    </row>
    <row r="72" spans="1:33" s="27" customFormat="1" ht="12.95" customHeight="1" x14ac:dyDescent="0.2">
      <c r="A72" s="26" t="s">
        <v>63</v>
      </c>
      <c r="B72" s="24" t="s">
        <v>54</v>
      </c>
      <c r="C72" s="25">
        <v>51792.286399999997</v>
      </c>
      <c r="D72" s="25" t="s">
        <v>84</v>
      </c>
      <c r="E72" s="27">
        <f t="shared" si="11"/>
        <v>1253.7391136665924</v>
      </c>
      <c r="F72" s="27">
        <f t="shared" si="12"/>
        <v>1253.5</v>
      </c>
      <c r="G72" s="27">
        <f t="shared" si="13"/>
        <v>1.827010449997033</v>
      </c>
      <c r="J72" s="27">
        <f>+G72</f>
        <v>1.827010449997033</v>
      </c>
      <c r="O72" s="27">
        <f t="shared" ca="1" si="18"/>
        <v>-1.0194322044263878E-2</v>
      </c>
      <c r="P72" s="27">
        <f t="shared" ca="1" si="14"/>
        <v>1.8191996032718942</v>
      </c>
      <c r="Q72" s="52">
        <f t="shared" si="15"/>
        <v>36773.786399999997</v>
      </c>
      <c r="S72" s="27">
        <f>G72</f>
        <v>1.827010449997033</v>
      </c>
    </row>
    <row r="73" spans="1:33" s="27" customFormat="1" ht="12.95" customHeight="1" x14ac:dyDescent="0.2">
      <c r="A73" s="53" t="s">
        <v>63</v>
      </c>
      <c r="B73" s="3"/>
      <c r="C73" s="7">
        <v>51792.28645</v>
      </c>
      <c r="D73" s="7">
        <v>2.2000000000000001E-3</v>
      </c>
      <c r="E73" s="27">
        <f t="shared" si="11"/>
        <v>1253.7391202104432</v>
      </c>
      <c r="F73" s="27">
        <f t="shared" si="12"/>
        <v>1253.5</v>
      </c>
      <c r="G73" s="27">
        <f t="shared" si="13"/>
        <v>1.8270604499994079</v>
      </c>
      <c r="J73" s="27">
        <f>+G73</f>
        <v>1.8270604499994079</v>
      </c>
      <c r="O73" s="27">
        <f t="shared" ca="1" si="18"/>
        <v>-1.0194322044263878E-2</v>
      </c>
      <c r="P73" s="27">
        <f t="shared" ca="1" si="14"/>
        <v>1.8191996032718942</v>
      </c>
      <c r="Q73" s="52">
        <f t="shared" si="15"/>
        <v>36773.78645</v>
      </c>
      <c r="S73" s="27">
        <f>G73</f>
        <v>1.8270604499994079</v>
      </c>
    </row>
    <row r="74" spans="1:33" s="27" customFormat="1" ht="12.95" customHeight="1" x14ac:dyDescent="0.2">
      <c r="A74" s="53" t="s">
        <v>61</v>
      </c>
      <c r="B74" s="3" t="s">
        <v>54</v>
      </c>
      <c r="C74" s="54">
        <v>52472.304450000003</v>
      </c>
      <c r="D74" s="54">
        <v>3.82E-3</v>
      </c>
      <c r="E74" s="27">
        <f t="shared" si="11"/>
        <v>1342.7378434135883</v>
      </c>
      <c r="F74" s="27">
        <f t="shared" si="12"/>
        <v>1342.5</v>
      </c>
      <c r="G74" s="27">
        <f t="shared" si="13"/>
        <v>1.8173047500094981</v>
      </c>
      <c r="J74" s="27">
        <f>+G74</f>
        <v>1.8173047500094981</v>
      </c>
      <c r="O74" s="27">
        <f t="shared" ca="1" si="18"/>
        <v>-1.1132116325241016E-2</v>
      </c>
      <c r="P74" s="27">
        <f t="shared" ca="1" si="14"/>
        <v>1.8164436719531023</v>
      </c>
      <c r="Q74" s="52">
        <f t="shared" si="15"/>
        <v>37453.804450000003</v>
      </c>
      <c r="S74" s="27">
        <f>G74</f>
        <v>1.8173047500094981</v>
      </c>
    </row>
    <row r="75" spans="1:33" s="27" customFormat="1" ht="12.95" customHeight="1" x14ac:dyDescent="0.2">
      <c r="A75" s="53" t="s">
        <v>61</v>
      </c>
      <c r="B75" s="3" t="s">
        <v>62</v>
      </c>
      <c r="C75" s="54">
        <v>52474.294430000002</v>
      </c>
      <c r="D75" s="54">
        <v>8.9999999999999998E-4</v>
      </c>
      <c r="E75" s="27">
        <f t="shared" si="11"/>
        <v>1342.9982860477535</v>
      </c>
      <c r="F75" s="27">
        <f t="shared" si="12"/>
        <v>1343</v>
      </c>
      <c r="G75" s="27">
        <f t="shared" si="13"/>
        <v>-1.3095899994368665E-2</v>
      </c>
      <c r="J75" s="27">
        <f>+G75</f>
        <v>-1.3095899994368665E-2</v>
      </c>
      <c r="O75" s="27">
        <f t="shared" ca="1" si="18"/>
        <v>-1.1137384832437517E-2</v>
      </c>
      <c r="P75" s="27">
        <f t="shared" ca="1" si="14"/>
        <v>1.8164281891928844</v>
      </c>
      <c r="Q75" s="52">
        <f t="shared" si="15"/>
        <v>37455.794430000002</v>
      </c>
      <c r="R75" s="27">
        <f>G75</f>
        <v>-1.3095899994368665E-2</v>
      </c>
    </row>
    <row r="76" spans="1:33" s="27" customFormat="1" ht="12.95" customHeight="1" x14ac:dyDescent="0.2">
      <c r="A76" s="55" t="s">
        <v>73</v>
      </c>
      <c r="B76" s="56" t="s">
        <v>54</v>
      </c>
      <c r="C76" s="55">
        <v>53618.421040000001</v>
      </c>
      <c r="D76" s="55">
        <v>4.0000000000000002E-4</v>
      </c>
      <c r="E76" s="27">
        <f t="shared" si="11"/>
        <v>1492.7381568640292</v>
      </c>
      <c r="F76" s="27">
        <f t="shared" si="12"/>
        <v>1492.5</v>
      </c>
      <c r="G76" s="27">
        <f t="shared" si="13"/>
        <v>1.819699750005384</v>
      </c>
      <c r="K76" s="27">
        <f>+G76</f>
        <v>1.819699750005384</v>
      </c>
      <c r="O76" s="27">
        <f t="shared" ca="1" si="18"/>
        <v>-1.2712668484191248E-2</v>
      </c>
      <c r="P76" s="27">
        <f t="shared" ca="1" si="14"/>
        <v>1.8117988438877228</v>
      </c>
      <c r="Q76" s="52">
        <f t="shared" si="15"/>
        <v>38599.921040000001</v>
      </c>
      <c r="S76" s="27">
        <f>G76</f>
        <v>1.819699750005384</v>
      </c>
    </row>
    <row r="77" spans="1:33" s="27" customFormat="1" ht="12.95" customHeight="1" x14ac:dyDescent="0.2">
      <c r="A77" s="55" t="s">
        <v>73</v>
      </c>
      <c r="B77" s="56" t="s">
        <v>62</v>
      </c>
      <c r="C77" s="55">
        <v>53620.409919999998</v>
      </c>
      <c r="D77" s="55">
        <v>2.9999999999999997E-4</v>
      </c>
      <c r="E77" s="27">
        <f t="shared" si="11"/>
        <v>1492.998455533482</v>
      </c>
      <c r="F77" s="27">
        <f t="shared" si="12"/>
        <v>1493</v>
      </c>
      <c r="G77" s="27">
        <f t="shared" si="13"/>
        <v>-1.1800899999798276E-2</v>
      </c>
      <c r="K77" s="27">
        <f>+G77</f>
        <v>-1.1800899999798276E-2</v>
      </c>
      <c r="O77" s="27">
        <f t="shared" ca="1" si="18"/>
        <v>-1.2717936991387751E-2</v>
      </c>
      <c r="P77" s="27">
        <f t="shared" ca="1" si="14"/>
        <v>1.8117833611275049</v>
      </c>
      <c r="Q77" s="52">
        <f t="shared" si="15"/>
        <v>38601.909919999998</v>
      </c>
      <c r="R77" s="27">
        <f>G77</f>
        <v>-1.1800899999798276E-2</v>
      </c>
    </row>
    <row r="78" spans="1:33" s="27" customFormat="1" ht="12.95" customHeight="1" x14ac:dyDescent="0.2">
      <c r="A78" s="57" t="s">
        <v>74</v>
      </c>
      <c r="B78" s="58" t="s">
        <v>62</v>
      </c>
      <c r="C78" s="59">
        <v>55064.509019999998</v>
      </c>
      <c r="D78" s="59">
        <v>4.0000000000000002E-4</v>
      </c>
      <c r="E78" s="27">
        <f t="shared" si="11"/>
        <v>1681.997829195371</v>
      </c>
      <c r="F78" s="27">
        <f t="shared" si="12"/>
        <v>1682</v>
      </c>
      <c r="G78" s="27">
        <f t="shared" si="13"/>
        <v>-1.6586600002483465E-2</v>
      </c>
      <c r="K78" s="27">
        <f>+G78</f>
        <v>-1.6586600002483465E-2</v>
      </c>
      <c r="O78" s="27">
        <f t="shared" ca="1" si="18"/>
        <v>-1.4709432711665043E-2</v>
      </c>
      <c r="P78" s="27">
        <f t="shared" ca="1" si="14"/>
        <v>1.8059308777651266</v>
      </c>
      <c r="Q78" s="52">
        <f t="shared" si="15"/>
        <v>40046.009019999998</v>
      </c>
      <c r="R78" s="27">
        <f>G78</f>
        <v>-1.6586600002483465E-2</v>
      </c>
    </row>
    <row r="79" spans="1:33" s="27" customFormat="1" ht="12.95" customHeight="1" x14ac:dyDescent="0.2">
      <c r="A79" s="60" t="s">
        <v>1</v>
      </c>
      <c r="B79" s="61" t="s">
        <v>62</v>
      </c>
      <c r="C79" s="62">
        <v>57278.319900000002</v>
      </c>
      <c r="D79" s="62">
        <v>1.9E-3</v>
      </c>
      <c r="E79" s="27">
        <f>+(C79-C$7)/C$8</f>
        <v>1971.73477988378</v>
      </c>
      <c r="F79" s="27">
        <f t="shared" si="12"/>
        <v>1971.5</v>
      </c>
      <c r="G79" s="27">
        <f>+C79-(C$7+F79*C$8)</f>
        <v>1.7938970500035794</v>
      </c>
      <c r="K79" s="27">
        <f>+G79</f>
        <v>1.7938970500035794</v>
      </c>
      <c r="O79" s="27">
        <f ca="1">+C$11+C$12*F79</f>
        <v>-1.7759898378438995E-2</v>
      </c>
      <c r="P79" s="27">
        <f ca="1">+D$11+D$12*F79</f>
        <v>1.796966359598944</v>
      </c>
      <c r="Q79" s="52">
        <f>+C79-15018.5</f>
        <v>42259.819900000002</v>
      </c>
      <c r="S79" s="27">
        <f>G79</f>
        <v>1.7938970500035794</v>
      </c>
    </row>
    <row r="80" spans="1:33" s="27" customFormat="1" ht="12.95" customHeight="1" x14ac:dyDescent="0.2">
      <c r="A80" s="63" t="s">
        <v>310</v>
      </c>
      <c r="B80" s="64" t="s">
        <v>62</v>
      </c>
      <c r="C80" s="65">
        <v>57639.44255</v>
      </c>
      <c r="D80" s="65">
        <v>2.9999999999999997E-4</v>
      </c>
      <c r="E80" s="27">
        <f>+(C80-C$7)/C$8</f>
        <v>2018.9974328866945</v>
      </c>
      <c r="F80" s="27">
        <f t="shared" si="12"/>
        <v>2019</v>
      </c>
      <c r="G80" s="27">
        <f>+C80-(C$7+F80*C$8)</f>
        <v>-1.9614699995145202E-2</v>
      </c>
      <c r="K80" s="27">
        <f>+G80</f>
        <v>-1.9614699995145202E-2</v>
      </c>
      <c r="O80" s="27">
        <f ca="1">+C$11+C$12*F80</f>
        <v>-1.8260406562106569E-2</v>
      </c>
      <c r="P80" s="27">
        <f ca="1">+D$11+D$12*F80</f>
        <v>1.7954954973782404</v>
      </c>
      <c r="Q80" s="52">
        <f>+C80-15018.5</f>
        <v>42620.94255</v>
      </c>
      <c r="R80" s="27">
        <f>G80</f>
        <v>-1.9614699995145202E-2</v>
      </c>
    </row>
    <row r="81" spans="1:19" s="27" customFormat="1" ht="12.95" customHeight="1" x14ac:dyDescent="0.2">
      <c r="A81" s="66" t="s">
        <v>0</v>
      </c>
      <c r="B81" s="67" t="s">
        <v>62</v>
      </c>
      <c r="C81" s="68">
        <v>57912.515899999999</v>
      </c>
      <c r="D81" s="68">
        <v>7.4000000000000003E-3</v>
      </c>
      <c r="E81" s="27">
        <f>+(C81-C$7)/C$8</f>
        <v>2054.736456693131</v>
      </c>
      <c r="F81" s="27">
        <f t="shared" si="12"/>
        <v>2054.5</v>
      </c>
      <c r="G81" s="27">
        <f>+C81-(C$7+F81*C$8)</f>
        <v>1.8067091499979142</v>
      </c>
      <c r="I81" s="27">
        <f>+G81</f>
        <v>1.8067091499979142</v>
      </c>
      <c r="O81" s="27">
        <f ca="1">+C$11+C$12*F81</f>
        <v>-1.8634470573058122E-2</v>
      </c>
      <c r="P81" s="27">
        <f ca="1">+D$11+D$12*F81</f>
        <v>1.7943962214027673</v>
      </c>
      <c r="Q81" s="52">
        <f>+C81-15018.5</f>
        <v>42894.015899999999</v>
      </c>
      <c r="S81" s="27">
        <f>G81</f>
        <v>1.8067091499979142</v>
      </c>
    </row>
    <row r="82" spans="1:19" s="27" customFormat="1" ht="12.95" customHeight="1" x14ac:dyDescent="0.2">
      <c r="A82" s="53"/>
      <c r="B82" s="3"/>
      <c r="C82" s="7"/>
      <c r="D82" s="7"/>
    </row>
    <row r="83" spans="1:19" s="27" customFormat="1" ht="12.95" customHeight="1" x14ac:dyDescent="0.2">
      <c r="A83" s="53"/>
      <c r="B83" s="3"/>
      <c r="C83" s="7"/>
      <c r="D83" s="7"/>
    </row>
    <row r="84" spans="1:19" s="27" customFormat="1" ht="12.95" customHeight="1" x14ac:dyDescent="0.2">
      <c r="A84" s="53"/>
      <c r="B84" s="3"/>
      <c r="C84" s="7"/>
      <c r="D84" s="7"/>
    </row>
    <row r="85" spans="1:19" s="27" customFormat="1" ht="12.95" customHeight="1" x14ac:dyDescent="0.2">
      <c r="A85" s="53"/>
      <c r="B85" s="3"/>
      <c r="C85" s="7"/>
      <c r="D85" s="7"/>
    </row>
    <row r="86" spans="1:19" s="27" customFormat="1" ht="12.95" customHeight="1" x14ac:dyDescent="0.2">
      <c r="A86" s="53"/>
      <c r="B86" s="3"/>
      <c r="C86" s="7"/>
      <c r="D86" s="7"/>
    </row>
    <row r="87" spans="1:19" s="27" customFormat="1" ht="12.95" customHeight="1" x14ac:dyDescent="0.2">
      <c r="A87" s="53"/>
      <c r="B87" s="3"/>
      <c r="C87" s="7"/>
      <c r="D87" s="7"/>
    </row>
    <row r="88" spans="1:19" s="27" customFormat="1" ht="12.95" customHeight="1" x14ac:dyDescent="0.2">
      <c r="A88" s="53"/>
      <c r="B88" s="3"/>
      <c r="C88" s="7"/>
      <c r="D88" s="7"/>
    </row>
    <row r="89" spans="1:19" s="27" customFormat="1" ht="12.95" customHeight="1" x14ac:dyDescent="0.2">
      <c r="A89" s="53"/>
      <c r="B89" s="3"/>
      <c r="C89" s="7"/>
      <c r="D89" s="7"/>
    </row>
    <row r="90" spans="1:19" s="27" customFormat="1" ht="12.95" customHeight="1" x14ac:dyDescent="0.2">
      <c r="A90" s="53"/>
      <c r="B90" s="3"/>
      <c r="C90" s="7"/>
      <c r="D90" s="7"/>
    </row>
    <row r="91" spans="1:19" s="27" customFormat="1" ht="12.95" customHeight="1" x14ac:dyDescent="0.2">
      <c r="A91" s="53"/>
      <c r="B91" s="3"/>
      <c r="C91" s="7"/>
      <c r="D91" s="7"/>
    </row>
    <row r="92" spans="1:19" s="27" customFormat="1" ht="12.95" customHeight="1" x14ac:dyDescent="0.2">
      <c r="A92" s="53"/>
      <c r="B92" s="3"/>
      <c r="C92" s="7"/>
      <c r="D92" s="7"/>
    </row>
    <row r="93" spans="1:19" s="27" customFormat="1" ht="12.95" customHeight="1" x14ac:dyDescent="0.2">
      <c r="A93" s="53"/>
      <c r="B93" s="3"/>
      <c r="C93" s="7"/>
      <c r="D93" s="7"/>
    </row>
    <row r="94" spans="1:19" s="27" customFormat="1" ht="12.95" customHeight="1" x14ac:dyDescent="0.2">
      <c r="A94" s="53"/>
      <c r="B94" s="3"/>
      <c r="C94" s="7"/>
      <c r="D94" s="7"/>
    </row>
    <row r="95" spans="1:19" s="27" customFormat="1" ht="12.95" customHeight="1" x14ac:dyDescent="0.2">
      <c r="A95" s="53"/>
      <c r="B95" s="3"/>
      <c r="C95" s="7"/>
      <c r="D95" s="7"/>
    </row>
    <row r="96" spans="1:19" s="27" customFormat="1" ht="12.95" customHeight="1" x14ac:dyDescent="0.2">
      <c r="A96" s="53"/>
      <c r="B96" s="3"/>
      <c r="C96" s="7"/>
      <c r="D96" s="7"/>
    </row>
    <row r="97" spans="1:4" s="27" customFormat="1" ht="12.95" customHeight="1" x14ac:dyDescent="0.2">
      <c r="A97" s="53"/>
      <c r="B97" s="3"/>
      <c r="C97" s="7"/>
      <c r="D97" s="7"/>
    </row>
    <row r="98" spans="1:4" s="27" customFormat="1" ht="12.95" customHeight="1" x14ac:dyDescent="0.2">
      <c r="A98" s="53"/>
      <c r="B98" s="3"/>
      <c r="C98" s="7"/>
      <c r="D98" s="7"/>
    </row>
    <row r="99" spans="1:4" s="27" customFormat="1" ht="12.95" customHeight="1" x14ac:dyDescent="0.2">
      <c r="A99" s="53"/>
      <c r="B99" s="3"/>
      <c r="C99" s="7"/>
      <c r="D99" s="7"/>
    </row>
    <row r="100" spans="1:4" s="27" customFormat="1" ht="12.95" customHeight="1" x14ac:dyDescent="0.2">
      <c r="A100" s="53"/>
      <c r="B100" s="3"/>
      <c r="C100" s="7"/>
      <c r="D100" s="7"/>
    </row>
    <row r="101" spans="1:4" s="27" customFormat="1" ht="12.95" customHeight="1" x14ac:dyDescent="0.2">
      <c r="A101" s="53"/>
      <c r="B101" s="3"/>
      <c r="C101" s="7"/>
      <c r="D101" s="7"/>
    </row>
    <row r="102" spans="1:4" s="27" customFormat="1" ht="12.95" customHeight="1" x14ac:dyDescent="0.2">
      <c r="A102" s="53"/>
      <c r="B102" s="3"/>
      <c r="C102" s="7"/>
      <c r="D102" s="7"/>
    </row>
    <row r="103" spans="1:4" s="27" customFormat="1" ht="12.95" customHeight="1" x14ac:dyDescent="0.2">
      <c r="A103" s="53"/>
      <c r="B103" s="3"/>
      <c r="C103" s="7"/>
      <c r="D103" s="7"/>
    </row>
    <row r="104" spans="1:4" s="27" customFormat="1" ht="12.95" customHeight="1" x14ac:dyDescent="0.2">
      <c r="A104" s="53"/>
      <c r="B104" s="3"/>
      <c r="C104" s="7"/>
      <c r="D104" s="7"/>
    </row>
    <row r="105" spans="1:4" s="27" customFormat="1" ht="12.95" customHeight="1" x14ac:dyDescent="0.2">
      <c r="A105" s="53"/>
      <c r="B105" s="3"/>
      <c r="C105" s="7"/>
      <c r="D105" s="7"/>
    </row>
    <row r="106" spans="1:4" s="27" customFormat="1" ht="12.95" customHeight="1" x14ac:dyDescent="0.2">
      <c r="A106" s="53"/>
      <c r="B106" s="3"/>
      <c r="C106" s="7"/>
      <c r="D106" s="7"/>
    </row>
    <row r="107" spans="1:4" s="27" customFormat="1" ht="12.95" customHeight="1" x14ac:dyDescent="0.2">
      <c r="A107" s="53"/>
      <c r="B107" s="3"/>
      <c r="C107" s="7"/>
      <c r="D107" s="7"/>
    </row>
    <row r="108" spans="1:4" s="27" customFormat="1" ht="12.95" customHeight="1" x14ac:dyDescent="0.2">
      <c r="A108" s="53"/>
      <c r="B108" s="3"/>
      <c r="C108" s="7"/>
      <c r="D108" s="7"/>
    </row>
    <row r="109" spans="1:4" s="27" customFormat="1" ht="12.95" customHeight="1" x14ac:dyDescent="0.2">
      <c r="A109" s="53"/>
      <c r="B109" s="3"/>
      <c r="C109" s="7"/>
      <c r="D109" s="7"/>
    </row>
    <row r="110" spans="1:4" s="27" customFormat="1" ht="12.95" customHeight="1" x14ac:dyDescent="0.2">
      <c r="A110" s="53"/>
      <c r="B110" s="3"/>
      <c r="C110" s="7"/>
      <c r="D110" s="7"/>
    </row>
    <row r="111" spans="1:4" s="27" customFormat="1" ht="12.95" customHeight="1" x14ac:dyDescent="0.2">
      <c r="A111" s="53"/>
      <c r="B111" s="3"/>
      <c r="C111" s="7"/>
      <c r="D111" s="7"/>
    </row>
    <row r="112" spans="1:4" s="27" customFormat="1" ht="12.95" customHeight="1" x14ac:dyDescent="0.2">
      <c r="A112" s="53"/>
      <c r="B112" s="3"/>
      <c r="C112" s="7"/>
      <c r="D112" s="7"/>
    </row>
    <row r="113" spans="1:4" s="27" customFormat="1" ht="12.95" customHeight="1" x14ac:dyDescent="0.2">
      <c r="A113" s="53"/>
      <c r="B113" s="3"/>
      <c r="C113" s="7"/>
      <c r="D113" s="7"/>
    </row>
    <row r="114" spans="1:4" s="27" customFormat="1" ht="12.95" customHeight="1" x14ac:dyDescent="0.2">
      <c r="A114" s="53"/>
      <c r="B114" s="3"/>
      <c r="C114" s="7"/>
      <c r="D114" s="7"/>
    </row>
    <row r="115" spans="1:4" s="27" customFormat="1" ht="12.95" customHeight="1" x14ac:dyDescent="0.2">
      <c r="A115" s="53"/>
      <c r="B115" s="3"/>
      <c r="C115" s="7"/>
      <c r="D115" s="7"/>
    </row>
    <row r="116" spans="1:4" s="27" customFormat="1" ht="12.95" customHeight="1" x14ac:dyDescent="0.2">
      <c r="A116" s="53"/>
      <c r="B116" s="3"/>
      <c r="C116" s="7"/>
      <c r="D116" s="7"/>
    </row>
    <row r="117" spans="1:4" s="27" customFormat="1" ht="12.95" customHeight="1" x14ac:dyDescent="0.2">
      <c r="A117" s="53"/>
      <c r="B117" s="3"/>
      <c r="C117" s="7"/>
      <c r="D117" s="7"/>
    </row>
    <row r="118" spans="1:4" s="27" customFormat="1" ht="12.95" customHeight="1" x14ac:dyDescent="0.2">
      <c r="A118" s="53"/>
      <c r="B118" s="3"/>
      <c r="C118" s="7"/>
      <c r="D118" s="7"/>
    </row>
    <row r="119" spans="1:4" s="28" customFormat="1" ht="12.95" customHeight="1" x14ac:dyDescent="0.2">
      <c r="A119" s="53"/>
      <c r="B119" s="69"/>
      <c r="C119" s="70"/>
      <c r="D119" s="70"/>
    </row>
    <row r="120" spans="1:4" s="28" customFormat="1" ht="12.95" customHeight="1" x14ac:dyDescent="0.2">
      <c r="A120" s="53"/>
      <c r="B120" s="69"/>
      <c r="C120" s="70"/>
      <c r="D120" s="70"/>
    </row>
    <row r="121" spans="1:4" s="28" customFormat="1" ht="12.95" customHeight="1" x14ac:dyDescent="0.2">
      <c r="A121" s="53"/>
      <c r="B121" s="69"/>
      <c r="C121" s="70"/>
      <c r="D121" s="70"/>
    </row>
    <row r="122" spans="1:4" s="28" customFormat="1" ht="12.95" customHeight="1" x14ac:dyDescent="0.2">
      <c r="A122" s="53"/>
      <c r="B122" s="69"/>
      <c r="C122" s="70"/>
      <c r="D122" s="70"/>
    </row>
    <row r="123" spans="1:4" s="28" customFormat="1" ht="12.95" customHeight="1" x14ac:dyDescent="0.2">
      <c r="A123" s="53"/>
      <c r="B123" s="69"/>
      <c r="C123" s="70"/>
      <c r="D123" s="70"/>
    </row>
    <row r="124" spans="1:4" s="28" customFormat="1" ht="12.95" customHeight="1" x14ac:dyDescent="0.2">
      <c r="A124" s="53"/>
      <c r="B124" s="69"/>
      <c r="C124" s="70"/>
      <c r="D124" s="70"/>
    </row>
    <row r="125" spans="1:4" s="28" customFormat="1" ht="12.95" customHeight="1" x14ac:dyDescent="0.2">
      <c r="A125" s="53"/>
      <c r="B125" s="69"/>
      <c r="C125" s="70"/>
      <c r="D125" s="70"/>
    </row>
    <row r="126" spans="1:4" s="28" customFormat="1" ht="12.95" customHeight="1" x14ac:dyDescent="0.2">
      <c r="A126" s="53"/>
      <c r="B126" s="69"/>
      <c r="C126" s="70"/>
      <c r="D126" s="70"/>
    </row>
    <row r="127" spans="1:4" s="28" customFormat="1" ht="12.95" customHeight="1" x14ac:dyDescent="0.2">
      <c r="A127" s="53"/>
      <c r="B127" s="69"/>
      <c r="C127" s="70"/>
      <c r="D127" s="70"/>
    </row>
    <row r="128" spans="1:4" s="28" customFormat="1" ht="12.95" customHeight="1" x14ac:dyDescent="0.2">
      <c r="A128" s="53"/>
      <c r="B128" s="69"/>
      <c r="C128" s="70"/>
      <c r="D128" s="70"/>
    </row>
    <row r="129" spans="1:4" s="28" customFormat="1" ht="12.95" customHeight="1" x14ac:dyDescent="0.2">
      <c r="A129" s="53"/>
      <c r="B129" s="69"/>
      <c r="C129" s="70"/>
      <c r="D129" s="70"/>
    </row>
    <row r="130" spans="1:4" s="28" customFormat="1" ht="12.95" customHeight="1" x14ac:dyDescent="0.2">
      <c r="A130" s="53"/>
      <c r="B130" s="69"/>
      <c r="C130" s="70"/>
      <c r="D130" s="70"/>
    </row>
    <row r="131" spans="1:4" s="28" customFormat="1" ht="12.95" customHeight="1" x14ac:dyDescent="0.2">
      <c r="A131" s="53"/>
      <c r="B131" s="69"/>
      <c r="C131" s="70"/>
      <c r="D131" s="70"/>
    </row>
    <row r="132" spans="1:4" s="28" customFormat="1" ht="12.95" customHeight="1" x14ac:dyDescent="0.2">
      <c r="A132" s="53"/>
      <c r="B132" s="69"/>
      <c r="C132" s="70"/>
      <c r="D132" s="70"/>
    </row>
    <row r="133" spans="1:4" s="28" customFormat="1" ht="12.95" customHeight="1" x14ac:dyDescent="0.2">
      <c r="A133" s="53"/>
      <c r="B133" s="69"/>
      <c r="C133" s="70"/>
      <c r="D133" s="70"/>
    </row>
    <row r="134" spans="1:4" s="28" customFormat="1" ht="12.95" customHeight="1" x14ac:dyDescent="0.2">
      <c r="A134" s="53"/>
      <c r="B134" s="69"/>
      <c r="C134" s="70"/>
      <c r="D134" s="70"/>
    </row>
    <row r="135" spans="1:4" s="28" customFormat="1" ht="12.95" customHeight="1" x14ac:dyDescent="0.2">
      <c r="A135" s="53"/>
      <c r="B135" s="69"/>
      <c r="C135" s="70"/>
      <c r="D135" s="70"/>
    </row>
    <row r="136" spans="1:4" s="28" customFormat="1" ht="12.95" customHeight="1" x14ac:dyDescent="0.2">
      <c r="A136" s="53"/>
      <c r="B136" s="69"/>
      <c r="C136" s="70"/>
      <c r="D136" s="70"/>
    </row>
    <row r="137" spans="1:4" s="28" customFormat="1" ht="12.95" customHeight="1" x14ac:dyDescent="0.2">
      <c r="A137" s="53"/>
      <c r="B137" s="69"/>
      <c r="C137" s="70"/>
      <c r="D137" s="70"/>
    </row>
    <row r="138" spans="1:4" s="28" customFormat="1" ht="12.95" customHeight="1" x14ac:dyDescent="0.2">
      <c r="A138" s="53"/>
      <c r="B138" s="69"/>
      <c r="C138" s="70"/>
      <c r="D138" s="70"/>
    </row>
    <row r="139" spans="1:4" s="28" customFormat="1" ht="12.95" customHeight="1" x14ac:dyDescent="0.2">
      <c r="A139" s="53"/>
      <c r="B139" s="69"/>
      <c r="C139" s="70"/>
      <c r="D139" s="70"/>
    </row>
    <row r="140" spans="1:4" s="28" customFormat="1" ht="12.95" customHeight="1" x14ac:dyDescent="0.2">
      <c r="A140" s="53"/>
      <c r="B140" s="69"/>
      <c r="C140" s="70"/>
      <c r="D140" s="70"/>
    </row>
    <row r="141" spans="1:4" s="28" customFormat="1" ht="12.95" customHeight="1" x14ac:dyDescent="0.2">
      <c r="A141" s="53"/>
      <c r="B141" s="69"/>
      <c r="C141" s="70"/>
      <c r="D141" s="70"/>
    </row>
    <row r="142" spans="1:4" s="28" customFormat="1" ht="12.95" customHeight="1" x14ac:dyDescent="0.2">
      <c r="A142" s="53"/>
      <c r="B142" s="69"/>
      <c r="C142" s="70"/>
      <c r="D142" s="70"/>
    </row>
    <row r="143" spans="1:4" s="28" customFormat="1" ht="12.95" customHeight="1" x14ac:dyDescent="0.2">
      <c r="A143" s="53"/>
      <c r="B143" s="69"/>
      <c r="C143" s="70"/>
      <c r="D143" s="70"/>
    </row>
    <row r="144" spans="1:4" s="28" customFormat="1" ht="12.95" customHeight="1" x14ac:dyDescent="0.2">
      <c r="A144" s="53"/>
      <c r="B144" s="69"/>
      <c r="C144" s="70"/>
      <c r="D144" s="70"/>
    </row>
    <row r="145" spans="1:4" s="28" customFormat="1" ht="12.95" customHeight="1" x14ac:dyDescent="0.2">
      <c r="A145" s="53"/>
      <c r="B145" s="69"/>
      <c r="C145" s="70"/>
      <c r="D145" s="70"/>
    </row>
    <row r="146" spans="1:4" s="28" customFormat="1" ht="12.95" customHeight="1" x14ac:dyDescent="0.2">
      <c r="A146" s="53"/>
      <c r="B146" s="69"/>
      <c r="C146" s="70"/>
      <c r="D146" s="70"/>
    </row>
    <row r="147" spans="1:4" s="28" customFormat="1" ht="12.95" customHeight="1" x14ac:dyDescent="0.2">
      <c r="A147" s="53"/>
      <c r="B147" s="69"/>
      <c r="C147" s="70"/>
      <c r="D147" s="70"/>
    </row>
    <row r="148" spans="1:4" s="28" customFormat="1" ht="12.95" customHeight="1" x14ac:dyDescent="0.2">
      <c r="A148" s="53"/>
      <c r="B148" s="69"/>
      <c r="C148" s="70"/>
      <c r="D148" s="70"/>
    </row>
    <row r="149" spans="1:4" s="28" customFormat="1" ht="12.95" customHeight="1" x14ac:dyDescent="0.2">
      <c r="A149" s="53"/>
      <c r="B149" s="69"/>
      <c r="C149" s="70"/>
      <c r="D149" s="70"/>
    </row>
    <row r="150" spans="1:4" s="28" customFormat="1" ht="12.95" customHeight="1" x14ac:dyDescent="0.2">
      <c r="A150" s="53"/>
      <c r="B150" s="69"/>
      <c r="C150" s="70"/>
      <c r="D150" s="70"/>
    </row>
    <row r="151" spans="1:4" s="28" customFormat="1" ht="12.95" customHeight="1" x14ac:dyDescent="0.2">
      <c r="A151" s="53"/>
      <c r="B151" s="69"/>
      <c r="C151" s="70"/>
      <c r="D151" s="70"/>
    </row>
    <row r="152" spans="1:4" s="28" customFormat="1" ht="12.95" customHeight="1" x14ac:dyDescent="0.2">
      <c r="A152" s="53"/>
      <c r="B152" s="69"/>
      <c r="C152" s="70"/>
      <c r="D152" s="70"/>
    </row>
    <row r="153" spans="1:4" s="28" customFormat="1" ht="12.95" customHeight="1" x14ac:dyDescent="0.2">
      <c r="A153" s="53"/>
      <c r="C153" s="70"/>
      <c r="D153" s="70"/>
    </row>
    <row r="154" spans="1:4" s="28" customFormat="1" ht="12.95" customHeight="1" x14ac:dyDescent="0.2">
      <c r="A154" s="53"/>
      <c r="C154" s="70"/>
      <c r="D154" s="70"/>
    </row>
    <row r="155" spans="1:4" s="28" customFormat="1" ht="12.95" customHeight="1" x14ac:dyDescent="0.2">
      <c r="A155" s="53"/>
      <c r="C155" s="70"/>
      <c r="D155" s="70"/>
    </row>
    <row r="156" spans="1:4" s="28" customFormat="1" ht="12.95" customHeight="1" x14ac:dyDescent="0.2">
      <c r="A156" s="53"/>
      <c r="C156" s="70"/>
      <c r="D156" s="70"/>
    </row>
    <row r="157" spans="1:4" s="28" customFormat="1" ht="12.95" customHeight="1" x14ac:dyDescent="0.2">
      <c r="A157" s="53"/>
      <c r="C157" s="70"/>
      <c r="D157" s="70"/>
    </row>
    <row r="158" spans="1:4" s="28" customFormat="1" ht="12.95" customHeight="1" x14ac:dyDescent="0.2">
      <c r="A158" s="53"/>
      <c r="C158" s="70"/>
      <c r="D158" s="70"/>
    </row>
    <row r="159" spans="1:4" s="28" customFormat="1" ht="12.95" customHeight="1" x14ac:dyDescent="0.2">
      <c r="A159" s="53"/>
      <c r="C159" s="70"/>
      <c r="D159" s="70"/>
    </row>
    <row r="160" spans="1:4" s="28" customFormat="1" ht="12.95" customHeight="1" x14ac:dyDescent="0.2">
      <c r="A160" s="53"/>
      <c r="C160" s="70"/>
      <c r="D160" s="70"/>
    </row>
    <row r="161" spans="1:4" s="28" customFormat="1" ht="12.95" customHeight="1" x14ac:dyDescent="0.2">
      <c r="A161" s="53"/>
      <c r="C161" s="70"/>
      <c r="D161" s="70"/>
    </row>
    <row r="162" spans="1:4" s="28" customFormat="1" ht="12.95" customHeight="1" x14ac:dyDescent="0.2">
      <c r="A162" s="53"/>
      <c r="C162" s="70"/>
      <c r="D162" s="70"/>
    </row>
    <row r="163" spans="1:4" s="28" customFormat="1" ht="12.95" customHeight="1" x14ac:dyDescent="0.2">
      <c r="A163" s="53"/>
      <c r="C163" s="70"/>
      <c r="D163" s="70"/>
    </row>
    <row r="164" spans="1:4" s="28" customFormat="1" ht="12.95" customHeight="1" x14ac:dyDescent="0.2">
      <c r="A164" s="53"/>
      <c r="C164" s="70"/>
      <c r="D164" s="70"/>
    </row>
    <row r="165" spans="1:4" s="28" customFormat="1" ht="12.95" customHeight="1" x14ac:dyDescent="0.2">
      <c r="A165" s="53"/>
      <c r="C165" s="70"/>
      <c r="D165" s="70"/>
    </row>
    <row r="166" spans="1:4" s="28" customFormat="1" ht="12.95" customHeight="1" x14ac:dyDescent="0.2">
      <c r="C166" s="70"/>
      <c r="D166" s="70"/>
    </row>
    <row r="167" spans="1:4" s="28" customFormat="1" ht="12.95" customHeight="1" x14ac:dyDescent="0.2">
      <c r="C167" s="70"/>
      <c r="D167" s="70"/>
    </row>
    <row r="168" spans="1:4" s="28" customFormat="1" ht="12.95" customHeight="1" x14ac:dyDescent="0.2">
      <c r="C168" s="70"/>
      <c r="D168" s="70"/>
    </row>
    <row r="169" spans="1:4" s="28" customFormat="1" ht="12.95" customHeight="1" x14ac:dyDescent="0.2">
      <c r="C169" s="70"/>
      <c r="D169" s="70"/>
    </row>
    <row r="170" spans="1:4" s="28" customFormat="1" ht="12.95" customHeight="1" x14ac:dyDescent="0.2">
      <c r="C170" s="70"/>
      <c r="D170" s="70"/>
    </row>
    <row r="171" spans="1:4" s="28" customFormat="1" ht="12.95" customHeight="1" x14ac:dyDescent="0.2">
      <c r="C171" s="70"/>
      <c r="D171" s="70"/>
    </row>
    <row r="172" spans="1:4" s="28" customFormat="1" ht="12.95" customHeight="1" x14ac:dyDescent="0.2">
      <c r="C172" s="70"/>
      <c r="D172" s="70"/>
    </row>
    <row r="173" spans="1:4" s="28" customFormat="1" ht="12.95" customHeight="1" x14ac:dyDescent="0.2">
      <c r="C173" s="70"/>
      <c r="D173" s="70"/>
    </row>
    <row r="174" spans="1:4" s="28" customFormat="1" ht="12.95" customHeight="1" x14ac:dyDescent="0.2">
      <c r="C174" s="70"/>
      <c r="D174" s="70"/>
    </row>
    <row r="175" spans="1:4" s="28" customFormat="1" ht="12.95" customHeight="1" x14ac:dyDescent="0.2">
      <c r="C175" s="70"/>
      <c r="D175" s="70"/>
    </row>
    <row r="176" spans="1:4" s="28" customFormat="1" ht="12.95" customHeight="1" x14ac:dyDescent="0.2">
      <c r="C176" s="70"/>
      <c r="D176" s="70"/>
    </row>
    <row r="177" spans="3:4" s="28" customFormat="1" ht="12.95" customHeight="1" x14ac:dyDescent="0.2">
      <c r="C177" s="70"/>
      <c r="D177" s="70"/>
    </row>
    <row r="178" spans="3:4" s="28" customFormat="1" ht="12.95" customHeight="1" x14ac:dyDescent="0.2">
      <c r="C178" s="70"/>
      <c r="D178" s="70"/>
    </row>
    <row r="179" spans="3:4" s="28" customFormat="1" ht="12.95" customHeight="1" x14ac:dyDescent="0.2">
      <c r="C179" s="70"/>
      <c r="D179" s="70"/>
    </row>
    <row r="180" spans="3:4" s="28" customFormat="1" ht="12.95" customHeight="1" x14ac:dyDescent="0.2">
      <c r="C180" s="70"/>
      <c r="D180" s="70"/>
    </row>
    <row r="181" spans="3:4" s="28" customFormat="1" ht="12.95" customHeight="1" x14ac:dyDescent="0.2">
      <c r="C181" s="70"/>
      <c r="D181" s="70"/>
    </row>
    <row r="182" spans="3:4" s="28" customFormat="1" ht="12.95" customHeight="1" x14ac:dyDescent="0.2">
      <c r="C182" s="70"/>
      <c r="D182" s="70"/>
    </row>
    <row r="183" spans="3:4" s="28" customFormat="1" ht="12.95" customHeight="1" x14ac:dyDescent="0.2">
      <c r="C183" s="70"/>
      <c r="D183" s="70"/>
    </row>
    <row r="184" spans="3:4" s="28" customFormat="1" ht="12.95" customHeight="1" x14ac:dyDescent="0.2">
      <c r="C184" s="70"/>
      <c r="D184" s="70"/>
    </row>
    <row r="185" spans="3:4" s="28" customFormat="1" ht="12.95" customHeight="1" x14ac:dyDescent="0.2">
      <c r="C185" s="70"/>
      <c r="D185" s="70"/>
    </row>
    <row r="186" spans="3:4" s="28" customFormat="1" ht="12.95" customHeight="1" x14ac:dyDescent="0.2">
      <c r="C186" s="70"/>
      <c r="D186" s="70"/>
    </row>
    <row r="187" spans="3:4" s="28" customFormat="1" ht="12.95" customHeight="1" x14ac:dyDescent="0.2">
      <c r="C187" s="70"/>
      <c r="D187" s="70"/>
    </row>
    <row r="188" spans="3:4" s="28" customFormat="1" ht="12.95" customHeight="1" x14ac:dyDescent="0.2">
      <c r="C188" s="70"/>
      <c r="D188" s="70"/>
    </row>
    <row r="189" spans="3:4" s="28" customFormat="1" ht="12.95" customHeight="1" x14ac:dyDescent="0.2">
      <c r="C189" s="70"/>
      <c r="D189" s="70"/>
    </row>
    <row r="190" spans="3:4" s="28" customFormat="1" ht="12.95" customHeight="1" x14ac:dyDescent="0.2">
      <c r="C190" s="70"/>
      <c r="D190" s="70"/>
    </row>
    <row r="191" spans="3:4" s="28" customFormat="1" ht="12.95" customHeight="1" x14ac:dyDescent="0.2">
      <c r="C191" s="70"/>
      <c r="D191" s="70"/>
    </row>
    <row r="192" spans="3:4" s="28" customFormat="1" ht="12.95" customHeight="1" x14ac:dyDescent="0.2">
      <c r="C192" s="70"/>
      <c r="D192" s="70"/>
    </row>
    <row r="193" spans="3:4" s="28" customFormat="1" ht="12.95" customHeight="1" x14ac:dyDescent="0.2">
      <c r="C193" s="70"/>
      <c r="D193" s="70"/>
    </row>
    <row r="194" spans="3:4" s="28" customFormat="1" ht="12.95" customHeight="1" x14ac:dyDescent="0.2">
      <c r="C194" s="70"/>
      <c r="D194" s="70"/>
    </row>
    <row r="195" spans="3:4" s="28" customFormat="1" ht="12.95" customHeight="1" x14ac:dyDescent="0.2">
      <c r="C195" s="70"/>
      <c r="D195" s="70"/>
    </row>
    <row r="196" spans="3:4" s="28" customFormat="1" ht="12.95" customHeight="1" x14ac:dyDescent="0.2">
      <c r="C196" s="70"/>
      <c r="D196" s="70"/>
    </row>
    <row r="197" spans="3:4" s="28" customFormat="1" ht="12.95" customHeight="1" x14ac:dyDescent="0.2">
      <c r="C197" s="70"/>
      <c r="D197" s="70"/>
    </row>
    <row r="198" spans="3:4" s="28" customFormat="1" ht="12.95" customHeight="1" x14ac:dyDescent="0.2">
      <c r="C198" s="70"/>
      <c r="D198" s="70"/>
    </row>
    <row r="199" spans="3:4" s="28" customFormat="1" ht="12.95" customHeight="1" x14ac:dyDescent="0.2">
      <c r="C199" s="70"/>
      <c r="D199" s="70"/>
    </row>
    <row r="200" spans="3:4" s="28" customFormat="1" ht="12.95" customHeight="1" x14ac:dyDescent="0.2">
      <c r="C200" s="70"/>
      <c r="D200" s="70"/>
    </row>
    <row r="201" spans="3:4" s="28" customFormat="1" ht="12.95" customHeight="1" x14ac:dyDescent="0.2">
      <c r="C201" s="70"/>
      <c r="D201" s="70"/>
    </row>
    <row r="202" spans="3:4" s="28" customFormat="1" ht="12.95" customHeight="1" x14ac:dyDescent="0.2">
      <c r="C202" s="70"/>
      <c r="D202" s="70"/>
    </row>
    <row r="203" spans="3:4" s="28" customFormat="1" ht="12.95" customHeight="1" x14ac:dyDescent="0.2">
      <c r="C203" s="70"/>
      <c r="D203" s="70"/>
    </row>
    <row r="204" spans="3:4" s="28" customFormat="1" ht="12.95" customHeight="1" x14ac:dyDescent="0.2">
      <c r="C204" s="70"/>
      <c r="D204" s="70"/>
    </row>
    <row r="205" spans="3:4" s="28" customFormat="1" ht="12.95" customHeight="1" x14ac:dyDescent="0.2">
      <c r="C205" s="70"/>
      <c r="D205" s="70"/>
    </row>
    <row r="206" spans="3:4" s="28" customFormat="1" ht="12.95" customHeight="1" x14ac:dyDescent="0.2">
      <c r="C206" s="70"/>
      <c r="D206" s="70"/>
    </row>
    <row r="207" spans="3:4" s="28" customFormat="1" ht="12.95" customHeight="1" x14ac:dyDescent="0.2">
      <c r="C207" s="70"/>
      <c r="D207" s="70"/>
    </row>
    <row r="208" spans="3:4" s="28" customFormat="1" ht="12.95" customHeight="1" x14ac:dyDescent="0.2">
      <c r="C208" s="70"/>
      <c r="D208" s="70"/>
    </row>
    <row r="209" spans="3:4" s="28" customFormat="1" ht="12.95" customHeight="1" x14ac:dyDescent="0.2">
      <c r="C209" s="70"/>
      <c r="D209" s="70"/>
    </row>
    <row r="210" spans="3:4" s="28" customFormat="1" ht="12.95" customHeight="1" x14ac:dyDescent="0.2">
      <c r="C210" s="70"/>
      <c r="D210" s="70"/>
    </row>
    <row r="211" spans="3:4" s="28" customFormat="1" ht="12.95" customHeight="1" x14ac:dyDescent="0.2">
      <c r="C211" s="70"/>
      <c r="D211" s="70"/>
    </row>
    <row r="212" spans="3:4" s="28" customFormat="1" ht="12.95" customHeight="1" x14ac:dyDescent="0.2">
      <c r="C212" s="70"/>
      <c r="D212" s="70"/>
    </row>
    <row r="213" spans="3:4" s="28" customFormat="1" ht="12.95" customHeight="1" x14ac:dyDescent="0.2">
      <c r="C213" s="70"/>
      <c r="D213" s="70"/>
    </row>
    <row r="214" spans="3:4" s="28" customFormat="1" ht="12.95" customHeight="1" x14ac:dyDescent="0.2">
      <c r="C214" s="70"/>
      <c r="D214" s="70"/>
    </row>
    <row r="215" spans="3:4" s="28" customFormat="1" ht="12.95" customHeight="1" x14ac:dyDescent="0.2">
      <c r="C215" s="70"/>
      <c r="D215" s="70"/>
    </row>
    <row r="216" spans="3:4" s="28" customFormat="1" ht="12.95" customHeight="1" x14ac:dyDescent="0.2">
      <c r="C216" s="70"/>
      <c r="D216" s="70"/>
    </row>
    <row r="217" spans="3:4" s="28" customFormat="1" ht="12.95" customHeight="1" x14ac:dyDescent="0.2">
      <c r="C217" s="70"/>
      <c r="D217" s="70"/>
    </row>
    <row r="218" spans="3:4" s="28" customFormat="1" ht="12.95" customHeight="1" x14ac:dyDescent="0.2">
      <c r="C218" s="70"/>
      <c r="D218" s="70"/>
    </row>
    <row r="219" spans="3:4" s="28" customFormat="1" ht="12.95" customHeight="1" x14ac:dyDescent="0.2">
      <c r="C219" s="70"/>
      <c r="D219" s="70"/>
    </row>
    <row r="220" spans="3:4" s="28" customFormat="1" ht="12.95" customHeight="1" x14ac:dyDescent="0.2">
      <c r="C220" s="70"/>
      <c r="D220" s="70"/>
    </row>
    <row r="221" spans="3:4" s="28" customFormat="1" ht="12.95" customHeight="1" x14ac:dyDescent="0.2">
      <c r="C221" s="70"/>
      <c r="D221" s="70"/>
    </row>
    <row r="222" spans="3:4" s="28" customFormat="1" ht="12.95" customHeight="1" x14ac:dyDescent="0.2">
      <c r="C222" s="70"/>
      <c r="D222" s="70"/>
    </row>
    <row r="223" spans="3:4" s="28" customFormat="1" ht="12.95" customHeight="1" x14ac:dyDescent="0.2">
      <c r="C223" s="70"/>
      <c r="D223" s="70"/>
    </row>
    <row r="224" spans="3:4" s="28" customFormat="1" ht="12.95" customHeight="1" x14ac:dyDescent="0.2">
      <c r="C224" s="70"/>
      <c r="D224" s="70"/>
    </row>
    <row r="225" spans="3:4" s="28" customFormat="1" ht="12.95" customHeight="1" x14ac:dyDescent="0.2">
      <c r="C225" s="70"/>
      <c r="D225" s="70"/>
    </row>
    <row r="226" spans="3:4" s="28" customFormat="1" ht="12.95" customHeight="1" x14ac:dyDescent="0.2">
      <c r="C226" s="70"/>
      <c r="D226" s="70"/>
    </row>
    <row r="227" spans="3:4" s="28" customFormat="1" ht="12.95" customHeight="1" x14ac:dyDescent="0.2">
      <c r="C227" s="70"/>
      <c r="D227" s="70"/>
    </row>
    <row r="228" spans="3:4" s="28" customFormat="1" ht="12.95" customHeight="1" x14ac:dyDescent="0.2">
      <c r="C228" s="70"/>
      <c r="D228" s="70"/>
    </row>
    <row r="229" spans="3:4" s="28" customFormat="1" ht="12.95" customHeight="1" x14ac:dyDescent="0.2">
      <c r="C229" s="70"/>
      <c r="D229" s="70"/>
    </row>
    <row r="230" spans="3:4" s="28" customFormat="1" ht="12.95" customHeight="1" x14ac:dyDescent="0.2">
      <c r="C230" s="70"/>
      <c r="D230" s="70"/>
    </row>
    <row r="231" spans="3:4" s="28" customFormat="1" ht="12.95" customHeight="1" x14ac:dyDescent="0.2">
      <c r="C231" s="70"/>
      <c r="D231" s="70"/>
    </row>
    <row r="232" spans="3:4" s="28" customFormat="1" ht="12.95" customHeight="1" x14ac:dyDescent="0.2">
      <c r="C232" s="70"/>
      <c r="D232" s="70"/>
    </row>
    <row r="233" spans="3:4" s="28" customFormat="1" ht="12.95" customHeight="1" x14ac:dyDescent="0.2">
      <c r="C233" s="70"/>
      <c r="D233" s="70"/>
    </row>
    <row r="234" spans="3:4" s="28" customFormat="1" ht="12.95" customHeight="1" x14ac:dyDescent="0.2">
      <c r="C234" s="70"/>
      <c r="D234" s="70"/>
    </row>
    <row r="235" spans="3:4" s="28" customFormat="1" ht="12.95" customHeight="1" x14ac:dyDescent="0.2">
      <c r="C235" s="70"/>
      <c r="D235" s="70"/>
    </row>
    <row r="236" spans="3:4" s="28" customFormat="1" ht="12.95" customHeight="1" x14ac:dyDescent="0.2">
      <c r="C236" s="70"/>
      <c r="D236" s="70"/>
    </row>
    <row r="237" spans="3:4" s="28" customFormat="1" ht="12.95" customHeight="1" x14ac:dyDescent="0.2">
      <c r="C237" s="70"/>
      <c r="D237" s="70"/>
    </row>
    <row r="238" spans="3:4" s="28" customFormat="1" ht="12.95" customHeight="1" x14ac:dyDescent="0.2">
      <c r="C238" s="70"/>
      <c r="D238" s="70"/>
    </row>
    <row r="239" spans="3:4" s="28" customFormat="1" ht="12.95" customHeight="1" x14ac:dyDescent="0.2">
      <c r="C239" s="70"/>
      <c r="D239" s="70"/>
    </row>
    <row r="240" spans="3:4" s="28" customFormat="1" ht="12.95" customHeight="1" x14ac:dyDescent="0.2">
      <c r="C240" s="70"/>
      <c r="D240" s="70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</sheetData>
  <phoneticPr fontId="8" type="noConversion"/>
  <hyperlinks>
    <hyperlink ref="H971" r:id="rId1" display="http://vsolj.cetus-net.org/bulletin.html"/>
    <hyperlink ref="H64641" r:id="rId2" display="http://vsolj.cetus-net.org/bulletin.html"/>
    <hyperlink ref="H64634" r:id="rId3" display="https://www.aavso.org/ejaavso"/>
    <hyperlink ref="AP785" r:id="rId4" display="http://cdsbib.u-strasbg.fr/cgi-bin/cdsbib?1990RMxAA..21..381G"/>
    <hyperlink ref="AP789" r:id="rId5" display="http://cdsbib.u-strasbg.fr/cgi-bin/cdsbib?1990RMxAA..21..381G"/>
    <hyperlink ref="AP788" r:id="rId6" display="http://cdsbib.u-strasbg.fr/cgi-bin/cdsbib?1990RMxAA..21..381G"/>
    <hyperlink ref="AP769" r:id="rId7" display="http://cdsbib.u-strasbg.fr/cgi-bin/cdsbib?1990RMxAA..21..381G"/>
    <hyperlink ref="I64641" r:id="rId8" display="http://vsolj.cetus-net.org/bulletin.html"/>
    <hyperlink ref="AQ925" r:id="rId9" display="http://cdsbib.u-strasbg.fr/cgi-bin/cdsbib?1990RMxAA..21..381G"/>
    <hyperlink ref="AQ55691" r:id="rId10" display="http://cdsbib.u-strasbg.fr/cgi-bin/cdsbib?1990RMxAA..21..381G"/>
    <hyperlink ref="AQ926" r:id="rId11" display="http://cdsbib.u-strasbg.fr/cgi-bin/cdsbib?1990RMxAA..21..381G"/>
    <hyperlink ref="H64638" r:id="rId12" display="https://www.aavso.org/ejaavso"/>
    <hyperlink ref="H1811" r:id="rId13" display="http://vsolj.cetus-net.org/bulletin.html"/>
    <hyperlink ref="AP3055" r:id="rId14" display="http://cdsbib.u-strasbg.fr/cgi-bin/cdsbib?1990RMxAA..21..381G"/>
    <hyperlink ref="AP3058" r:id="rId15" display="http://cdsbib.u-strasbg.fr/cgi-bin/cdsbib?1990RMxAA..21..381G"/>
    <hyperlink ref="AP3056" r:id="rId16" display="http://cdsbib.u-strasbg.fr/cgi-bin/cdsbib?1990RMxAA..21..381G"/>
    <hyperlink ref="AP3040" r:id="rId17" display="http://cdsbib.u-strasbg.fr/cgi-bin/cdsbib?1990RMxAA..21..381G"/>
    <hyperlink ref="I1811" r:id="rId18" display="http://vsolj.cetus-net.org/bulletin.html"/>
    <hyperlink ref="AQ3269" r:id="rId19" display="http://cdsbib.u-strasbg.fr/cgi-bin/cdsbib?1990RMxAA..21..381G"/>
    <hyperlink ref="AQ65506" r:id="rId20" display="http://cdsbib.u-strasbg.fr/cgi-bin/cdsbib?1990RMxAA..21..381G"/>
    <hyperlink ref="AQ3273" r:id="rId21" display="http://cdsbib.u-strasbg.fr/cgi-bin/cdsbib?1990RMxAA..21..381G"/>
  </hyperlinks>
  <pageMargins left="0.75" right="0.75" top="1" bottom="1" header="0.5" footer="0.5"/>
  <pageSetup orientation="portrait" horizontalDpi="4294967293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topLeftCell="A28" workbookViewId="0">
      <selection activeCell="A54" sqref="A54:D63"/>
    </sheetView>
  </sheetViews>
  <sheetFormatPr defaultRowHeight="12.75" x14ac:dyDescent="0.2"/>
  <cols>
    <col min="1" max="1" width="19.7109375" style="2" customWidth="1"/>
    <col min="2" max="2" width="4.42578125" style="8" customWidth="1"/>
    <col min="3" max="3" width="12.7109375" style="2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9" t="s">
        <v>75</v>
      </c>
      <c r="I1" s="10" t="s">
        <v>76</v>
      </c>
      <c r="J1" s="11" t="s">
        <v>77</v>
      </c>
    </row>
    <row r="2" spans="1:16" x14ac:dyDescent="0.2">
      <c r="I2" s="12" t="s">
        <v>78</v>
      </c>
      <c r="J2" s="13" t="s">
        <v>79</v>
      </c>
    </row>
    <row r="3" spans="1:16" x14ac:dyDescent="0.2">
      <c r="A3" s="14" t="s">
        <v>80</v>
      </c>
      <c r="I3" s="12" t="s">
        <v>81</v>
      </c>
      <c r="J3" s="13" t="s">
        <v>82</v>
      </c>
    </row>
    <row r="4" spans="1:16" x14ac:dyDescent="0.2">
      <c r="I4" s="12" t="s">
        <v>83</v>
      </c>
      <c r="J4" s="13" t="s">
        <v>82</v>
      </c>
    </row>
    <row r="5" spans="1:16" ht="13.5" thickBot="1" x14ac:dyDescent="0.25">
      <c r="I5" s="15" t="s">
        <v>48</v>
      </c>
      <c r="J5" s="16" t="s">
        <v>84</v>
      </c>
    </row>
    <row r="10" spans="1:16" ht="13.5" thickBot="1" x14ac:dyDescent="0.25"/>
    <row r="11" spans="1:16" ht="12.75" customHeight="1" thickBot="1" x14ac:dyDescent="0.25">
      <c r="A11" s="2" t="str">
        <f t="shared" ref="A11:A42" si="0">P11</f>
        <v>IBVS 817 </v>
      </c>
      <c r="B11" s="17" t="str">
        <f t="shared" ref="B11:B42" si="1">IF(H11=INT(H11),"I","II")</f>
        <v>I</v>
      </c>
      <c r="C11" s="2">
        <f t="shared" ref="C11:C42" si="2">1*G11</f>
        <v>41135.4208</v>
      </c>
      <c r="D11" s="8" t="str">
        <f t="shared" ref="D11:D42" si="3">VLOOKUP(F11,I$1:J$5,2,FALSE)</f>
        <v>vis</v>
      </c>
      <c r="E11" s="18">
        <f>VLOOKUP(C11,'Active 1'!C$21:E$971,3,FALSE)</f>
        <v>-140.9996017019923</v>
      </c>
      <c r="F11" s="17" t="s">
        <v>48</v>
      </c>
      <c r="G11" s="8" t="str">
        <f t="shared" ref="G11:G42" si="4">MID(I11,3,LEN(I11)-3)</f>
        <v>41135.4208</v>
      </c>
      <c r="H11" s="2">
        <f t="shared" ref="H11:H42" si="5">1*K11</f>
        <v>-141</v>
      </c>
      <c r="I11" s="19" t="s">
        <v>105</v>
      </c>
      <c r="J11" s="20" t="s">
        <v>106</v>
      </c>
      <c r="K11" s="19">
        <v>-141</v>
      </c>
      <c r="L11" s="19" t="s">
        <v>107</v>
      </c>
      <c r="M11" s="20" t="s">
        <v>88</v>
      </c>
      <c r="N11" s="20" t="s">
        <v>89</v>
      </c>
      <c r="O11" s="21" t="s">
        <v>103</v>
      </c>
      <c r="P11" s="22" t="s">
        <v>104</v>
      </c>
    </row>
    <row r="12" spans="1:16" ht="12.75" customHeight="1" thickBot="1" x14ac:dyDescent="0.25">
      <c r="A12" s="2" t="str">
        <f t="shared" si="0"/>
        <v> AVSJ 5.34 </v>
      </c>
      <c r="B12" s="17" t="str">
        <f t="shared" si="1"/>
        <v>I</v>
      </c>
      <c r="C12" s="2">
        <f t="shared" si="2"/>
        <v>41578.587</v>
      </c>
      <c r="D12" s="8" t="str">
        <f t="shared" si="3"/>
        <v>vis</v>
      </c>
      <c r="E12" s="18">
        <f>VLOOKUP(C12,'Active 1'!C$21:E$971,3,FALSE)</f>
        <v>-82.999334110855855</v>
      </c>
      <c r="F12" s="17" t="s">
        <v>48</v>
      </c>
      <c r="G12" s="8" t="str">
        <f t="shared" si="4"/>
        <v>41578.587</v>
      </c>
      <c r="H12" s="2">
        <f t="shared" si="5"/>
        <v>-83</v>
      </c>
      <c r="I12" s="19" t="s">
        <v>108</v>
      </c>
      <c r="J12" s="20" t="s">
        <v>109</v>
      </c>
      <c r="K12" s="19">
        <v>-83</v>
      </c>
      <c r="L12" s="19" t="s">
        <v>110</v>
      </c>
      <c r="M12" s="20" t="s">
        <v>111</v>
      </c>
      <c r="N12" s="20"/>
      <c r="O12" s="21" t="s">
        <v>112</v>
      </c>
      <c r="P12" s="21" t="s">
        <v>113</v>
      </c>
    </row>
    <row r="13" spans="1:16" ht="12.75" customHeight="1" thickBot="1" x14ac:dyDescent="0.25">
      <c r="A13" s="2" t="str">
        <f t="shared" si="0"/>
        <v> AJ 82.653 </v>
      </c>
      <c r="B13" s="17" t="str">
        <f t="shared" si="1"/>
        <v>I</v>
      </c>
      <c r="C13" s="2">
        <f t="shared" si="2"/>
        <v>42212.765099999997</v>
      </c>
      <c r="D13" s="8" t="str">
        <f t="shared" si="3"/>
        <v>vis</v>
      </c>
      <c r="E13" s="18">
        <f>VLOOKUP(C13,'Active 1'!C$21:E$971,3,FALSE)</f>
        <v>0</v>
      </c>
      <c r="F13" s="17" t="s">
        <v>48</v>
      </c>
      <c r="G13" s="8" t="str">
        <f t="shared" si="4"/>
        <v>42212.7651</v>
      </c>
      <c r="H13" s="2">
        <f t="shared" si="5"/>
        <v>0</v>
      </c>
      <c r="I13" s="19" t="s">
        <v>114</v>
      </c>
      <c r="J13" s="20" t="s">
        <v>115</v>
      </c>
      <c r="K13" s="19">
        <v>0</v>
      </c>
      <c r="L13" s="19" t="s">
        <v>116</v>
      </c>
      <c r="M13" s="20" t="s">
        <v>88</v>
      </c>
      <c r="N13" s="20" t="s">
        <v>89</v>
      </c>
      <c r="O13" s="21" t="s">
        <v>117</v>
      </c>
      <c r="P13" s="21" t="s">
        <v>118</v>
      </c>
    </row>
    <row r="14" spans="1:16" ht="12.75" customHeight="1" thickBot="1" x14ac:dyDescent="0.25">
      <c r="A14" s="2" t="str">
        <f t="shared" si="0"/>
        <v> AJ 82.653 </v>
      </c>
      <c r="B14" s="17" t="str">
        <f t="shared" si="1"/>
        <v>II</v>
      </c>
      <c r="C14" s="2">
        <f t="shared" si="2"/>
        <v>42615.75</v>
      </c>
      <c r="D14" s="8" t="str">
        <f t="shared" si="3"/>
        <v>vis</v>
      </c>
      <c r="E14" s="18">
        <f>VLOOKUP(C14,'Active 1'!C$21:E$971,3,FALSE)</f>
        <v>52.741459152768336</v>
      </c>
      <c r="F14" s="17" t="s">
        <v>48</v>
      </c>
      <c r="G14" s="8" t="str">
        <f t="shared" si="4"/>
        <v>42615.75</v>
      </c>
      <c r="H14" s="2">
        <f t="shared" si="5"/>
        <v>52.5</v>
      </c>
      <c r="I14" s="19" t="s">
        <v>119</v>
      </c>
      <c r="J14" s="20" t="s">
        <v>120</v>
      </c>
      <c r="K14" s="19">
        <v>52.5</v>
      </c>
      <c r="L14" s="19" t="s">
        <v>121</v>
      </c>
      <c r="M14" s="20" t="s">
        <v>88</v>
      </c>
      <c r="N14" s="20" t="s">
        <v>89</v>
      </c>
      <c r="O14" s="21" t="s">
        <v>117</v>
      </c>
      <c r="P14" s="21" t="s">
        <v>118</v>
      </c>
    </row>
    <row r="15" spans="1:16" ht="12.75" customHeight="1" thickBot="1" x14ac:dyDescent="0.25">
      <c r="A15" s="2" t="str">
        <f t="shared" si="0"/>
        <v> AJ 82.653 </v>
      </c>
      <c r="B15" s="17" t="str">
        <f t="shared" si="1"/>
        <v>I</v>
      </c>
      <c r="C15" s="2">
        <f t="shared" si="2"/>
        <v>42617.726999999999</v>
      </c>
      <c r="D15" s="8" t="str">
        <f t="shared" si="3"/>
        <v>vis</v>
      </c>
      <c r="E15" s="18">
        <f>VLOOKUP(C15,'Active 1'!C$21:E$971,3,FALSE)</f>
        <v>53.000203003331883</v>
      </c>
      <c r="F15" s="17" t="s">
        <v>48</v>
      </c>
      <c r="G15" s="8" t="str">
        <f t="shared" si="4"/>
        <v>42617.727</v>
      </c>
      <c r="H15" s="2">
        <f t="shared" si="5"/>
        <v>53</v>
      </c>
      <c r="I15" s="19" t="s">
        <v>122</v>
      </c>
      <c r="J15" s="20" t="s">
        <v>123</v>
      </c>
      <c r="K15" s="19">
        <v>53</v>
      </c>
      <c r="L15" s="19" t="s">
        <v>124</v>
      </c>
      <c r="M15" s="20" t="s">
        <v>88</v>
      </c>
      <c r="N15" s="20" t="s">
        <v>89</v>
      </c>
      <c r="O15" s="21" t="s">
        <v>117</v>
      </c>
      <c r="P15" s="21" t="s">
        <v>118</v>
      </c>
    </row>
    <row r="16" spans="1:16" ht="12.75" customHeight="1" thickBot="1" x14ac:dyDescent="0.25">
      <c r="A16" s="2" t="str">
        <f t="shared" si="0"/>
        <v> AJ 82.653 </v>
      </c>
      <c r="B16" s="17" t="str">
        <f t="shared" si="1"/>
        <v>II</v>
      </c>
      <c r="C16" s="2">
        <f t="shared" si="2"/>
        <v>43066.574999999997</v>
      </c>
      <c r="D16" s="8" t="str">
        <f t="shared" si="3"/>
        <v>vis</v>
      </c>
      <c r="E16" s="18">
        <f>VLOOKUP(C16,'Active 1'!C$21:E$971,3,FALSE)</f>
        <v>111.74408759504111</v>
      </c>
      <c r="F16" s="17" t="s">
        <v>48</v>
      </c>
      <c r="G16" s="8" t="str">
        <f t="shared" si="4"/>
        <v>43066.575</v>
      </c>
      <c r="H16" s="2">
        <f t="shared" si="5"/>
        <v>111.5</v>
      </c>
      <c r="I16" s="19" t="s">
        <v>125</v>
      </c>
      <c r="J16" s="20" t="s">
        <v>126</v>
      </c>
      <c r="K16" s="19">
        <v>111.5</v>
      </c>
      <c r="L16" s="19" t="s">
        <v>127</v>
      </c>
      <c r="M16" s="20" t="s">
        <v>88</v>
      </c>
      <c r="N16" s="20" t="s">
        <v>89</v>
      </c>
      <c r="O16" s="21" t="s">
        <v>117</v>
      </c>
      <c r="P16" s="21" t="s">
        <v>118</v>
      </c>
    </row>
    <row r="17" spans="1:16" ht="12.75" customHeight="1" thickBot="1" x14ac:dyDescent="0.25">
      <c r="A17" s="2" t="str">
        <f t="shared" si="0"/>
        <v>IBVS 3070 </v>
      </c>
      <c r="B17" s="17" t="str">
        <f t="shared" si="1"/>
        <v>I</v>
      </c>
      <c r="C17" s="2">
        <f t="shared" si="2"/>
        <v>43305.3943</v>
      </c>
      <c r="D17" s="8" t="str">
        <f t="shared" si="3"/>
        <v>vis</v>
      </c>
      <c r="E17" s="18">
        <f>VLOOKUP(C17,'Active 1'!C$21:E$971,3,FALSE)</f>
        <v>143.00004372600975</v>
      </c>
      <c r="F17" s="17" t="s">
        <v>48</v>
      </c>
      <c r="G17" s="8" t="str">
        <f t="shared" si="4"/>
        <v>43305.3943</v>
      </c>
      <c r="H17" s="2">
        <f t="shared" si="5"/>
        <v>143</v>
      </c>
      <c r="I17" s="19" t="s">
        <v>128</v>
      </c>
      <c r="J17" s="20" t="s">
        <v>129</v>
      </c>
      <c r="K17" s="19">
        <v>143</v>
      </c>
      <c r="L17" s="19" t="s">
        <v>130</v>
      </c>
      <c r="M17" s="20" t="s">
        <v>88</v>
      </c>
      <c r="N17" s="20" t="s">
        <v>89</v>
      </c>
      <c r="O17" s="21" t="s">
        <v>131</v>
      </c>
      <c r="P17" s="22" t="s">
        <v>132</v>
      </c>
    </row>
    <row r="18" spans="1:16" ht="12.75" customHeight="1" thickBot="1" x14ac:dyDescent="0.25">
      <c r="A18" s="2" t="str">
        <f t="shared" si="0"/>
        <v> VSSC 58.16 </v>
      </c>
      <c r="B18" s="17" t="str">
        <f t="shared" si="1"/>
        <v>I</v>
      </c>
      <c r="C18" s="2">
        <f t="shared" si="2"/>
        <v>43366.495000000003</v>
      </c>
      <c r="D18" s="8" t="str">
        <f t="shared" si="3"/>
        <v>vis</v>
      </c>
      <c r="E18" s="18">
        <f>VLOOKUP(C18,'Active 1'!C$21:E$971,3,FALSE)</f>
        <v>150.99672070635233</v>
      </c>
      <c r="F18" s="17" t="s">
        <v>48</v>
      </c>
      <c r="G18" s="8" t="str">
        <f t="shared" si="4"/>
        <v>43366.495</v>
      </c>
      <c r="H18" s="2">
        <f t="shared" si="5"/>
        <v>151</v>
      </c>
      <c r="I18" s="19" t="s">
        <v>133</v>
      </c>
      <c r="J18" s="20" t="s">
        <v>134</v>
      </c>
      <c r="K18" s="19">
        <v>151</v>
      </c>
      <c r="L18" s="19" t="s">
        <v>135</v>
      </c>
      <c r="M18" s="20" t="s">
        <v>111</v>
      </c>
      <c r="N18" s="20"/>
      <c r="O18" s="21" t="s">
        <v>136</v>
      </c>
      <c r="P18" s="21" t="s">
        <v>137</v>
      </c>
    </row>
    <row r="19" spans="1:16" ht="12.75" customHeight="1" thickBot="1" x14ac:dyDescent="0.25">
      <c r="A19" s="2" t="str">
        <f t="shared" si="0"/>
        <v> BBS 47 </v>
      </c>
      <c r="B19" s="17" t="str">
        <f t="shared" si="1"/>
        <v>I</v>
      </c>
      <c r="C19" s="2">
        <f t="shared" si="2"/>
        <v>44115.328000000001</v>
      </c>
      <c r="D19" s="8" t="str">
        <f t="shared" si="3"/>
        <v>vis</v>
      </c>
      <c r="E19" s="18">
        <f>VLOOKUP(C19,'Active 1'!C$21:E$971,3,FALSE)</f>
        <v>249.00174541508113</v>
      </c>
      <c r="F19" s="17" t="s">
        <v>48</v>
      </c>
      <c r="G19" s="8" t="str">
        <f t="shared" si="4"/>
        <v>44115.328</v>
      </c>
      <c r="H19" s="2">
        <f t="shared" si="5"/>
        <v>249</v>
      </c>
      <c r="I19" s="19" t="s">
        <v>138</v>
      </c>
      <c r="J19" s="20" t="s">
        <v>139</v>
      </c>
      <c r="K19" s="19">
        <v>249</v>
      </c>
      <c r="L19" s="19" t="s">
        <v>140</v>
      </c>
      <c r="M19" s="20" t="s">
        <v>111</v>
      </c>
      <c r="N19" s="20"/>
      <c r="O19" s="21" t="s">
        <v>141</v>
      </c>
      <c r="P19" s="21" t="s">
        <v>142</v>
      </c>
    </row>
    <row r="20" spans="1:16" ht="12.75" customHeight="1" thickBot="1" x14ac:dyDescent="0.25">
      <c r="A20" s="2" t="str">
        <f t="shared" si="0"/>
        <v> VSSC 59.17 </v>
      </c>
      <c r="B20" s="17" t="str">
        <f t="shared" si="1"/>
        <v>I</v>
      </c>
      <c r="C20" s="2">
        <f t="shared" si="2"/>
        <v>44130.597999999998</v>
      </c>
      <c r="D20" s="8" t="str">
        <f t="shared" si="3"/>
        <v>vis</v>
      </c>
      <c r="E20" s="18">
        <f>VLOOKUP(C20,'Active 1'!C$21:E$971,3,FALSE)</f>
        <v>251.00023737163482</v>
      </c>
      <c r="F20" s="17" t="s">
        <v>48</v>
      </c>
      <c r="G20" s="8" t="str">
        <f t="shared" si="4"/>
        <v>44130.598</v>
      </c>
      <c r="H20" s="2">
        <f t="shared" si="5"/>
        <v>251</v>
      </c>
      <c r="I20" s="19" t="s">
        <v>143</v>
      </c>
      <c r="J20" s="20" t="s">
        <v>144</v>
      </c>
      <c r="K20" s="19">
        <v>251</v>
      </c>
      <c r="L20" s="19" t="s">
        <v>124</v>
      </c>
      <c r="M20" s="20" t="s">
        <v>111</v>
      </c>
      <c r="N20" s="20"/>
      <c r="O20" s="21" t="s">
        <v>136</v>
      </c>
      <c r="P20" s="21" t="s">
        <v>145</v>
      </c>
    </row>
    <row r="21" spans="1:16" ht="12.75" customHeight="1" thickBot="1" x14ac:dyDescent="0.25">
      <c r="A21" s="2" t="str">
        <f t="shared" si="0"/>
        <v> VSSC 59.17 </v>
      </c>
      <c r="B21" s="17" t="str">
        <f t="shared" si="1"/>
        <v>I</v>
      </c>
      <c r="C21" s="2">
        <f t="shared" si="2"/>
        <v>44176.425000000003</v>
      </c>
      <c r="D21" s="8" t="str">
        <f t="shared" si="3"/>
        <v>vis</v>
      </c>
      <c r="E21" s="18">
        <f>VLOOKUP(C21,'Active 1'!C$21:E$971,3,FALSE)</f>
        <v>256.99793815048326</v>
      </c>
      <c r="F21" s="17" t="s">
        <v>48</v>
      </c>
      <c r="G21" s="8" t="str">
        <f t="shared" si="4"/>
        <v>44176.425</v>
      </c>
      <c r="H21" s="2">
        <f t="shared" si="5"/>
        <v>257</v>
      </c>
      <c r="I21" s="19" t="s">
        <v>146</v>
      </c>
      <c r="J21" s="20" t="s">
        <v>147</v>
      </c>
      <c r="K21" s="19">
        <v>257</v>
      </c>
      <c r="L21" s="19" t="s">
        <v>148</v>
      </c>
      <c r="M21" s="20" t="s">
        <v>111</v>
      </c>
      <c r="N21" s="20"/>
      <c r="O21" s="21" t="s">
        <v>136</v>
      </c>
      <c r="P21" s="21" t="s">
        <v>145</v>
      </c>
    </row>
    <row r="22" spans="1:16" ht="12.75" customHeight="1" thickBot="1" x14ac:dyDescent="0.25">
      <c r="A22" s="2" t="str">
        <f t="shared" si="0"/>
        <v> VSSC 59.17 </v>
      </c>
      <c r="B22" s="17" t="str">
        <f t="shared" si="1"/>
        <v>I</v>
      </c>
      <c r="C22" s="2">
        <f t="shared" si="2"/>
        <v>44749.498</v>
      </c>
      <c r="D22" s="8" t="str">
        <f t="shared" si="3"/>
        <v>vis</v>
      </c>
      <c r="E22" s="18">
        <f>VLOOKUP(C22,'Active 1'!C$21:E$971,3,FALSE)</f>
        <v>332.00001942214874</v>
      </c>
      <c r="F22" s="17" t="s">
        <v>48</v>
      </c>
      <c r="G22" s="8" t="str">
        <f t="shared" si="4"/>
        <v>44749.498</v>
      </c>
      <c r="H22" s="2">
        <f t="shared" si="5"/>
        <v>332</v>
      </c>
      <c r="I22" s="19" t="s">
        <v>149</v>
      </c>
      <c r="J22" s="20" t="s">
        <v>150</v>
      </c>
      <c r="K22" s="19">
        <v>332</v>
      </c>
      <c r="L22" s="19" t="s">
        <v>151</v>
      </c>
      <c r="M22" s="20" t="s">
        <v>111</v>
      </c>
      <c r="N22" s="20"/>
      <c r="O22" s="21" t="s">
        <v>136</v>
      </c>
      <c r="P22" s="21" t="s">
        <v>145</v>
      </c>
    </row>
    <row r="23" spans="1:16" ht="12.75" customHeight="1" thickBot="1" x14ac:dyDescent="0.25">
      <c r="A23" s="2" t="str">
        <f t="shared" si="0"/>
        <v> VSSC 59.17 </v>
      </c>
      <c r="B23" s="17" t="str">
        <f t="shared" si="1"/>
        <v>I</v>
      </c>
      <c r="C23" s="2">
        <f t="shared" si="2"/>
        <v>44925.258999999998</v>
      </c>
      <c r="D23" s="8" t="str">
        <f t="shared" si="3"/>
        <v>vis</v>
      </c>
      <c r="E23" s="18">
        <f>VLOOKUP(C23,'Active 1'!C$21:E$971,3,FALSE)</f>
        <v>355.00309373622247</v>
      </c>
      <c r="F23" s="17" t="s">
        <v>48</v>
      </c>
      <c r="G23" s="8" t="str">
        <f t="shared" si="4"/>
        <v>44925.259</v>
      </c>
      <c r="H23" s="2">
        <f t="shared" si="5"/>
        <v>355</v>
      </c>
      <c r="I23" s="19" t="s">
        <v>152</v>
      </c>
      <c r="J23" s="20" t="s">
        <v>153</v>
      </c>
      <c r="K23" s="19">
        <v>355</v>
      </c>
      <c r="L23" s="19" t="s">
        <v>154</v>
      </c>
      <c r="M23" s="20" t="s">
        <v>111</v>
      </c>
      <c r="N23" s="20"/>
      <c r="O23" s="21" t="s">
        <v>136</v>
      </c>
      <c r="P23" s="21" t="s">
        <v>145</v>
      </c>
    </row>
    <row r="24" spans="1:16" ht="12.75" customHeight="1" thickBot="1" x14ac:dyDescent="0.25">
      <c r="A24" s="2" t="str">
        <f t="shared" si="0"/>
        <v> MVS 9.163 </v>
      </c>
      <c r="B24" s="17" t="str">
        <f t="shared" si="1"/>
        <v>I</v>
      </c>
      <c r="C24" s="2">
        <f t="shared" si="2"/>
        <v>45001.654000000002</v>
      </c>
      <c r="D24" s="8" t="str">
        <f t="shared" si="3"/>
        <v>vis</v>
      </c>
      <c r="E24" s="18">
        <f>VLOOKUP(C24,'Active 1'!C$21:E$971,3,FALSE)</f>
        <v>365.00144298448447</v>
      </c>
      <c r="F24" s="17" t="s">
        <v>48</v>
      </c>
      <c r="G24" s="8" t="str">
        <f t="shared" si="4"/>
        <v>45001.654</v>
      </c>
      <c r="H24" s="2">
        <f t="shared" si="5"/>
        <v>365</v>
      </c>
      <c r="I24" s="19" t="s">
        <v>155</v>
      </c>
      <c r="J24" s="20" t="s">
        <v>156</v>
      </c>
      <c r="K24" s="19">
        <v>365</v>
      </c>
      <c r="L24" s="19" t="s">
        <v>157</v>
      </c>
      <c r="M24" s="20" t="s">
        <v>111</v>
      </c>
      <c r="N24" s="20"/>
      <c r="O24" s="21" t="s">
        <v>158</v>
      </c>
      <c r="P24" s="21" t="s">
        <v>159</v>
      </c>
    </row>
    <row r="25" spans="1:16" ht="12.75" customHeight="1" thickBot="1" x14ac:dyDescent="0.25">
      <c r="A25" s="2" t="str">
        <f t="shared" si="0"/>
        <v> MVS 10.42 </v>
      </c>
      <c r="B25" s="17" t="str">
        <f t="shared" si="1"/>
        <v>II</v>
      </c>
      <c r="C25" s="2">
        <f t="shared" si="2"/>
        <v>45259.449000000001</v>
      </c>
      <c r="D25" s="8" t="str">
        <f t="shared" si="3"/>
        <v>vis</v>
      </c>
      <c r="E25" s="18">
        <f>VLOOKUP(C25,'Active 1'!C$21:E$971,3,FALSE)</f>
        <v>398.74088201132571</v>
      </c>
      <c r="F25" s="17" t="s">
        <v>48</v>
      </c>
      <c r="G25" s="8" t="str">
        <f t="shared" si="4"/>
        <v>45259.449</v>
      </c>
      <c r="H25" s="2">
        <f t="shared" si="5"/>
        <v>398.5</v>
      </c>
      <c r="I25" s="19" t="s">
        <v>160</v>
      </c>
      <c r="J25" s="20" t="s">
        <v>161</v>
      </c>
      <c r="K25" s="19">
        <v>398.5</v>
      </c>
      <c r="L25" s="19" t="s">
        <v>162</v>
      </c>
      <c r="M25" s="20" t="s">
        <v>111</v>
      </c>
      <c r="N25" s="20"/>
      <c r="O25" s="21" t="s">
        <v>158</v>
      </c>
      <c r="P25" s="21" t="s">
        <v>163</v>
      </c>
    </row>
    <row r="26" spans="1:16" ht="12.75" customHeight="1" thickBot="1" x14ac:dyDescent="0.25">
      <c r="A26" s="2" t="str">
        <f t="shared" si="0"/>
        <v> MVS 10.42 </v>
      </c>
      <c r="B26" s="17" t="str">
        <f t="shared" si="1"/>
        <v>I</v>
      </c>
      <c r="C26" s="2">
        <f t="shared" si="2"/>
        <v>45261.42</v>
      </c>
      <c r="D26" s="8" t="str">
        <f t="shared" si="3"/>
        <v>vis</v>
      </c>
      <c r="E26" s="18">
        <f>VLOOKUP(C26,'Active 1'!C$21:E$971,3,FALSE)</f>
        <v>398.99884059982367</v>
      </c>
      <c r="F26" s="17" t="s">
        <v>48</v>
      </c>
      <c r="G26" s="8" t="str">
        <f t="shared" si="4"/>
        <v>45261.420</v>
      </c>
      <c r="H26" s="2">
        <f t="shared" si="5"/>
        <v>399</v>
      </c>
      <c r="I26" s="19" t="s">
        <v>164</v>
      </c>
      <c r="J26" s="20" t="s">
        <v>165</v>
      </c>
      <c r="K26" s="19">
        <v>399</v>
      </c>
      <c r="L26" s="19" t="s">
        <v>166</v>
      </c>
      <c r="M26" s="20" t="s">
        <v>111</v>
      </c>
      <c r="N26" s="20"/>
      <c r="O26" s="21" t="s">
        <v>158</v>
      </c>
      <c r="P26" s="21" t="s">
        <v>163</v>
      </c>
    </row>
    <row r="27" spans="1:16" ht="12.75" customHeight="1" thickBot="1" x14ac:dyDescent="0.25">
      <c r="A27" s="2" t="str">
        <f t="shared" si="0"/>
        <v> MVS 10.42 </v>
      </c>
      <c r="B27" s="17" t="str">
        <f t="shared" si="1"/>
        <v>I</v>
      </c>
      <c r="C27" s="2">
        <f t="shared" si="2"/>
        <v>45406.605000000003</v>
      </c>
      <c r="D27" s="8" t="str">
        <f t="shared" si="3"/>
        <v>vis</v>
      </c>
      <c r="E27" s="18">
        <f>VLOOKUP(C27,'Active 1'!C$21:E$971,3,FALSE)</f>
        <v>418.00021942839732</v>
      </c>
      <c r="F27" s="17" t="s">
        <v>48</v>
      </c>
      <c r="G27" s="8" t="str">
        <f t="shared" si="4"/>
        <v>45406.605</v>
      </c>
      <c r="H27" s="2">
        <f t="shared" si="5"/>
        <v>418</v>
      </c>
      <c r="I27" s="19" t="s">
        <v>167</v>
      </c>
      <c r="J27" s="20" t="s">
        <v>168</v>
      </c>
      <c r="K27" s="19">
        <v>418</v>
      </c>
      <c r="L27" s="19" t="s">
        <v>124</v>
      </c>
      <c r="M27" s="20" t="s">
        <v>111</v>
      </c>
      <c r="N27" s="20"/>
      <c r="O27" s="21" t="s">
        <v>158</v>
      </c>
      <c r="P27" s="21" t="s">
        <v>163</v>
      </c>
    </row>
    <row r="28" spans="1:16" ht="12.75" customHeight="1" thickBot="1" x14ac:dyDescent="0.25">
      <c r="A28" s="2" t="str">
        <f t="shared" si="0"/>
        <v> MVS 10.104 </v>
      </c>
      <c r="B28" s="17" t="str">
        <f t="shared" si="1"/>
        <v>I</v>
      </c>
      <c r="C28" s="2">
        <f t="shared" si="2"/>
        <v>45689.305999999997</v>
      </c>
      <c r="D28" s="8" t="str">
        <f t="shared" si="3"/>
        <v>vis</v>
      </c>
      <c r="E28" s="18">
        <f>VLOOKUP(C28,'Active 1'!C$21:E$971,3,FALSE)</f>
        <v>454.99928128889457</v>
      </c>
      <c r="F28" s="17" t="s">
        <v>48</v>
      </c>
      <c r="G28" s="8" t="str">
        <f t="shared" si="4"/>
        <v>45689.306</v>
      </c>
      <c r="H28" s="2">
        <f t="shared" si="5"/>
        <v>455</v>
      </c>
      <c r="I28" s="19" t="s">
        <v>169</v>
      </c>
      <c r="J28" s="20" t="s">
        <v>170</v>
      </c>
      <c r="K28" s="19">
        <v>455</v>
      </c>
      <c r="L28" s="19" t="s">
        <v>171</v>
      </c>
      <c r="M28" s="20" t="s">
        <v>111</v>
      </c>
      <c r="N28" s="20"/>
      <c r="O28" s="21" t="s">
        <v>158</v>
      </c>
      <c r="P28" s="21" t="s">
        <v>172</v>
      </c>
    </row>
    <row r="29" spans="1:16" ht="12.75" customHeight="1" thickBot="1" x14ac:dyDescent="0.25">
      <c r="A29" s="2" t="str">
        <f t="shared" si="0"/>
        <v> VSSC 61.17 </v>
      </c>
      <c r="B29" s="17" t="str">
        <f t="shared" si="1"/>
        <v>I</v>
      </c>
      <c r="C29" s="2">
        <f t="shared" si="2"/>
        <v>45834.481</v>
      </c>
      <c r="D29" s="8" t="str">
        <f t="shared" si="3"/>
        <v>vis</v>
      </c>
      <c r="E29" s="18">
        <f>VLOOKUP(C29,'Active 1'!C$21:E$971,3,FALSE)</f>
        <v>473.99935134735892</v>
      </c>
      <c r="F29" s="17" t="s">
        <v>48</v>
      </c>
      <c r="G29" s="8" t="str">
        <f t="shared" si="4"/>
        <v>45834.481</v>
      </c>
      <c r="H29" s="2">
        <f t="shared" si="5"/>
        <v>474</v>
      </c>
      <c r="I29" s="19" t="s">
        <v>173</v>
      </c>
      <c r="J29" s="20" t="s">
        <v>174</v>
      </c>
      <c r="K29" s="19">
        <v>474</v>
      </c>
      <c r="L29" s="19" t="s">
        <v>171</v>
      </c>
      <c r="M29" s="20" t="s">
        <v>111</v>
      </c>
      <c r="N29" s="20"/>
      <c r="O29" s="21" t="s">
        <v>136</v>
      </c>
      <c r="P29" s="21" t="s">
        <v>175</v>
      </c>
    </row>
    <row r="30" spans="1:16" ht="12.75" customHeight="1" thickBot="1" x14ac:dyDescent="0.25">
      <c r="A30" s="2" t="str">
        <f t="shared" si="0"/>
        <v> MVS 11.19 </v>
      </c>
      <c r="B30" s="17" t="str">
        <f t="shared" si="1"/>
        <v>II</v>
      </c>
      <c r="C30" s="2">
        <f t="shared" si="2"/>
        <v>46023.565999999999</v>
      </c>
      <c r="D30" s="8" t="str">
        <f t="shared" si="3"/>
        <v>vis</v>
      </c>
      <c r="E30" s="18">
        <f>VLOOKUP(C30,'Active 1'!C$21:E$971,3,FALSE)</f>
        <v>498.74623095476124</v>
      </c>
      <c r="F30" s="17" t="s">
        <v>48</v>
      </c>
      <c r="G30" s="8" t="str">
        <f t="shared" si="4"/>
        <v>46023.566</v>
      </c>
      <c r="H30" s="2">
        <f t="shared" si="5"/>
        <v>498.5</v>
      </c>
      <c r="I30" s="19" t="s">
        <v>176</v>
      </c>
      <c r="J30" s="20" t="s">
        <v>177</v>
      </c>
      <c r="K30" s="19">
        <v>498.5</v>
      </c>
      <c r="L30" s="19" t="s">
        <v>178</v>
      </c>
      <c r="M30" s="20" t="s">
        <v>111</v>
      </c>
      <c r="N30" s="20"/>
      <c r="O30" s="21" t="s">
        <v>158</v>
      </c>
      <c r="P30" s="21" t="s">
        <v>179</v>
      </c>
    </row>
    <row r="31" spans="1:16" ht="12.75" customHeight="1" thickBot="1" x14ac:dyDescent="0.25">
      <c r="A31" s="2" t="str">
        <f t="shared" si="0"/>
        <v> VSSC 64.23 </v>
      </c>
      <c r="B31" s="17" t="str">
        <f t="shared" si="1"/>
        <v>I</v>
      </c>
      <c r="C31" s="2">
        <f t="shared" si="2"/>
        <v>46094.258000000002</v>
      </c>
      <c r="D31" s="8" t="str">
        <f t="shared" si="3"/>
        <v>vis</v>
      </c>
      <c r="E31" s="18">
        <f>VLOOKUP(C31,'Active 1'!C$21:E$971,3,FALSE)</f>
        <v>507.99818860981884</v>
      </c>
      <c r="F31" s="17" t="s">
        <v>48</v>
      </c>
      <c r="G31" s="8" t="str">
        <f t="shared" si="4"/>
        <v>46094.258</v>
      </c>
      <c r="H31" s="2">
        <f t="shared" si="5"/>
        <v>508</v>
      </c>
      <c r="I31" s="19" t="s">
        <v>180</v>
      </c>
      <c r="J31" s="20" t="s">
        <v>181</v>
      </c>
      <c r="K31" s="19">
        <v>508</v>
      </c>
      <c r="L31" s="19" t="s">
        <v>182</v>
      </c>
      <c r="M31" s="20" t="s">
        <v>111</v>
      </c>
      <c r="N31" s="20"/>
      <c r="O31" s="21" t="s">
        <v>136</v>
      </c>
      <c r="P31" s="21" t="s">
        <v>183</v>
      </c>
    </row>
    <row r="32" spans="1:16" ht="12.75" customHeight="1" thickBot="1" x14ac:dyDescent="0.25">
      <c r="A32" s="2" t="str">
        <f t="shared" si="0"/>
        <v> VSSC 64.23 </v>
      </c>
      <c r="B32" s="17" t="str">
        <f t="shared" si="1"/>
        <v>I</v>
      </c>
      <c r="C32" s="2">
        <f t="shared" si="2"/>
        <v>46216.517</v>
      </c>
      <c r="D32" s="8" t="str">
        <f t="shared" si="3"/>
        <v>vis</v>
      </c>
      <c r="E32" s="18">
        <f>VLOOKUP(C32,'Active 1'!C$21:E$971,3,FALSE)</f>
        <v>523.99908108633133</v>
      </c>
      <c r="F32" s="17" t="s">
        <v>48</v>
      </c>
      <c r="G32" s="8" t="str">
        <f t="shared" si="4"/>
        <v>46216.517</v>
      </c>
      <c r="H32" s="2">
        <f t="shared" si="5"/>
        <v>524</v>
      </c>
      <c r="I32" s="19" t="s">
        <v>184</v>
      </c>
      <c r="J32" s="20" t="s">
        <v>185</v>
      </c>
      <c r="K32" s="19">
        <v>524</v>
      </c>
      <c r="L32" s="19" t="s">
        <v>186</v>
      </c>
      <c r="M32" s="20" t="s">
        <v>111</v>
      </c>
      <c r="N32" s="20"/>
      <c r="O32" s="21" t="s">
        <v>136</v>
      </c>
      <c r="P32" s="21" t="s">
        <v>183</v>
      </c>
    </row>
    <row r="33" spans="1:16" ht="12.75" customHeight="1" thickBot="1" x14ac:dyDescent="0.25">
      <c r="A33" s="2" t="str">
        <f t="shared" si="0"/>
        <v> MVS 11.19 </v>
      </c>
      <c r="B33" s="17" t="str">
        <f t="shared" si="1"/>
        <v>I</v>
      </c>
      <c r="C33" s="2">
        <f t="shared" si="2"/>
        <v>46247.09</v>
      </c>
      <c r="D33" s="8" t="str">
        <f t="shared" si="3"/>
        <v>vis</v>
      </c>
      <c r="E33" s="18">
        <f>VLOOKUP(C33,'Active 1'!C$21:E$971,3,FALSE)</f>
        <v>528.00038394079911</v>
      </c>
      <c r="F33" s="17" t="s">
        <v>48</v>
      </c>
      <c r="G33" s="8" t="str">
        <f t="shared" si="4"/>
        <v>46247.090</v>
      </c>
      <c r="H33" s="2">
        <f t="shared" si="5"/>
        <v>528</v>
      </c>
      <c r="I33" s="19" t="s">
        <v>187</v>
      </c>
      <c r="J33" s="20" t="s">
        <v>188</v>
      </c>
      <c r="K33" s="19">
        <v>528</v>
      </c>
      <c r="L33" s="19" t="s">
        <v>189</v>
      </c>
      <c r="M33" s="20" t="s">
        <v>111</v>
      </c>
      <c r="N33" s="20"/>
      <c r="O33" s="21" t="s">
        <v>158</v>
      </c>
      <c r="P33" s="21" t="s">
        <v>179</v>
      </c>
    </row>
    <row r="34" spans="1:16" ht="12.75" customHeight="1" thickBot="1" x14ac:dyDescent="0.25">
      <c r="A34" s="2" t="str">
        <f t="shared" si="0"/>
        <v>BAVM 43 </v>
      </c>
      <c r="B34" s="17" t="str">
        <f t="shared" si="1"/>
        <v>I</v>
      </c>
      <c r="C34" s="2">
        <f t="shared" si="2"/>
        <v>46346.421000000002</v>
      </c>
      <c r="D34" s="8" t="str">
        <f t="shared" si="3"/>
        <v>vis</v>
      </c>
      <c r="E34" s="18">
        <f>VLOOKUP(C34,'Active 1'!C$21:E$971,3,FALSE)</f>
        <v>541.0005283112306</v>
      </c>
      <c r="F34" s="17" t="s">
        <v>48</v>
      </c>
      <c r="G34" s="8" t="str">
        <f t="shared" si="4"/>
        <v>46346.421</v>
      </c>
      <c r="H34" s="2">
        <f t="shared" si="5"/>
        <v>541</v>
      </c>
      <c r="I34" s="19" t="s">
        <v>190</v>
      </c>
      <c r="J34" s="20" t="s">
        <v>191</v>
      </c>
      <c r="K34" s="19">
        <v>541</v>
      </c>
      <c r="L34" s="19" t="s">
        <v>192</v>
      </c>
      <c r="M34" s="20" t="s">
        <v>111</v>
      </c>
      <c r="N34" s="20"/>
      <c r="O34" s="21" t="s">
        <v>193</v>
      </c>
      <c r="P34" s="22" t="s">
        <v>194</v>
      </c>
    </row>
    <row r="35" spans="1:16" ht="12.75" customHeight="1" thickBot="1" x14ac:dyDescent="0.25">
      <c r="A35" s="2" t="str">
        <f t="shared" si="0"/>
        <v> VSSC 67.9 </v>
      </c>
      <c r="B35" s="17" t="str">
        <f t="shared" si="1"/>
        <v>I</v>
      </c>
      <c r="C35" s="2">
        <f t="shared" si="2"/>
        <v>46644.415999999997</v>
      </c>
      <c r="D35" s="8" t="str">
        <f t="shared" si="3"/>
        <v>vis</v>
      </c>
      <c r="E35" s="18">
        <f>VLOOKUP(C35,'Active 1'!C$21:E$971,3,FALSE)</f>
        <v>580.00122317654393</v>
      </c>
      <c r="F35" s="17" t="s">
        <v>48</v>
      </c>
      <c r="G35" s="8" t="str">
        <f t="shared" si="4"/>
        <v>46644.416</v>
      </c>
      <c r="H35" s="2">
        <f t="shared" si="5"/>
        <v>580</v>
      </c>
      <c r="I35" s="19" t="s">
        <v>195</v>
      </c>
      <c r="J35" s="20" t="s">
        <v>196</v>
      </c>
      <c r="K35" s="19">
        <v>580</v>
      </c>
      <c r="L35" s="19" t="s">
        <v>197</v>
      </c>
      <c r="M35" s="20" t="s">
        <v>111</v>
      </c>
      <c r="N35" s="20"/>
      <c r="O35" s="21" t="s">
        <v>198</v>
      </c>
      <c r="P35" s="21" t="s">
        <v>199</v>
      </c>
    </row>
    <row r="36" spans="1:16" ht="12.75" customHeight="1" thickBot="1" x14ac:dyDescent="0.25">
      <c r="A36" s="2" t="str">
        <f t="shared" si="0"/>
        <v> VSSC 67.9 </v>
      </c>
      <c r="B36" s="17" t="str">
        <f t="shared" si="1"/>
        <v>I</v>
      </c>
      <c r="C36" s="2">
        <f t="shared" si="2"/>
        <v>46667.334999999999</v>
      </c>
      <c r="D36" s="8" t="str">
        <f t="shared" si="3"/>
        <v>vis</v>
      </c>
      <c r="E36" s="18">
        <f>VLOOKUP(C36,'Active 1'!C$21:E$971,3,FALSE)</f>
        <v>583.0007933895281</v>
      </c>
      <c r="F36" s="17" t="s">
        <v>48</v>
      </c>
      <c r="G36" s="8" t="str">
        <f t="shared" si="4"/>
        <v>46667.335</v>
      </c>
      <c r="H36" s="2">
        <f t="shared" si="5"/>
        <v>583</v>
      </c>
      <c r="I36" s="19" t="s">
        <v>200</v>
      </c>
      <c r="J36" s="20" t="s">
        <v>201</v>
      </c>
      <c r="K36" s="19">
        <v>583</v>
      </c>
      <c r="L36" s="19" t="s">
        <v>202</v>
      </c>
      <c r="M36" s="20" t="s">
        <v>111</v>
      </c>
      <c r="N36" s="20"/>
      <c r="O36" s="21" t="s">
        <v>198</v>
      </c>
      <c r="P36" s="21" t="s">
        <v>199</v>
      </c>
    </row>
    <row r="37" spans="1:16" ht="12.75" customHeight="1" thickBot="1" x14ac:dyDescent="0.25">
      <c r="A37" s="2" t="str">
        <f t="shared" si="0"/>
        <v> VSSC 67.9 </v>
      </c>
      <c r="B37" s="17" t="str">
        <f t="shared" si="1"/>
        <v>I</v>
      </c>
      <c r="C37" s="2">
        <f t="shared" si="2"/>
        <v>46751.364999999998</v>
      </c>
      <c r="D37" s="8" t="str">
        <f t="shared" si="3"/>
        <v>vis</v>
      </c>
      <c r="E37" s="18">
        <f>VLOOKUP(C37,'Active 1'!C$21:E$971,3,FALSE)</f>
        <v>593.99838861606645</v>
      </c>
      <c r="F37" s="17" t="s">
        <v>48</v>
      </c>
      <c r="G37" s="8" t="str">
        <f t="shared" si="4"/>
        <v>46751.365</v>
      </c>
      <c r="H37" s="2">
        <f t="shared" si="5"/>
        <v>594</v>
      </c>
      <c r="I37" s="19" t="s">
        <v>203</v>
      </c>
      <c r="J37" s="20" t="s">
        <v>204</v>
      </c>
      <c r="K37" s="19">
        <v>594</v>
      </c>
      <c r="L37" s="19" t="s">
        <v>205</v>
      </c>
      <c r="M37" s="20" t="s">
        <v>111</v>
      </c>
      <c r="N37" s="20"/>
      <c r="O37" s="21" t="s">
        <v>206</v>
      </c>
      <c r="P37" s="21" t="s">
        <v>199</v>
      </c>
    </row>
    <row r="38" spans="1:16" ht="12.75" customHeight="1" thickBot="1" x14ac:dyDescent="0.25">
      <c r="A38" s="2" t="str">
        <f t="shared" si="0"/>
        <v> BBS 109 </v>
      </c>
      <c r="B38" s="17" t="str">
        <f t="shared" si="1"/>
        <v>I</v>
      </c>
      <c r="C38" s="2">
        <f t="shared" si="2"/>
        <v>47003.538</v>
      </c>
      <c r="D38" s="8" t="str">
        <f t="shared" si="3"/>
        <v>vis</v>
      </c>
      <c r="E38" s="18">
        <f>VLOOKUP(C38,'Active 1'!C$21:E$971,3,FALSE)</f>
        <v>627.0020370875875</v>
      </c>
      <c r="F38" s="17" t="s">
        <v>48</v>
      </c>
      <c r="G38" s="8" t="str">
        <f t="shared" si="4"/>
        <v>47003.538</v>
      </c>
      <c r="H38" s="2">
        <f t="shared" si="5"/>
        <v>627</v>
      </c>
      <c r="I38" s="19" t="s">
        <v>207</v>
      </c>
      <c r="J38" s="20" t="s">
        <v>208</v>
      </c>
      <c r="K38" s="19">
        <v>627</v>
      </c>
      <c r="L38" s="19" t="s">
        <v>209</v>
      </c>
      <c r="M38" s="20" t="s">
        <v>111</v>
      </c>
      <c r="N38" s="20"/>
      <c r="O38" s="21" t="s">
        <v>210</v>
      </c>
      <c r="P38" s="21" t="s">
        <v>211</v>
      </c>
    </row>
    <row r="39" spans="1:16" ht="12.75" customHeight="1" thickBot="1" x14ac:dyDescent="0.25">
      <c r="A39" s="2" t="str">
        <f t="shared" si="0"/>
        <v> BBS 109 </v>
      </c>
      <c r="B39" s="17" t="str">
        <f t="shared" si="1"/>
        <v>I</v>
      </c>
      <c r="C39" s="2">
        <f t="shared" si="2"/>
        <v>47026.449000000001</v>
      </c>
      <c r="D39" s="8" t="str">
        <f t="shared" si="3"/>
        <v>vis</v>
      </c>
      <c r="E39" s="18">
        <f>VLOOKUP(C39,'Active 1'!C$21:E$971,3,FALSE)</f>
        <v>630.0005602844841</v>
      </c>
      <c r="F39" s="17" t="s">
        <v>48</v>
      </c>
      <c r="G39" s="8" t="str">
        <f t="shared" si="4"/>
        <v>47026.449</v>
      </c>
      <c r="H39" s="2">
        <f t="shared" si="5"/>
        <v>630</v>
      </c>
      <c r="I39" s="19" t="s">
        <v>212</v>
      </c>
      <c r="J39" s="20" t="s">
        <v>213</v>
      </c>
      <c r="K39" s="19">
        <v>630</v>
      </c>
      <c r="L39" s="19" t="s">
        <v>192</v>
      </c>
      <c r="M39" s="20" t="s">
        <v>111</v>
      </c>
      <c r="N39" s="20"/>
      <c r="O39" s="21" t="s">
        <v>210</v>
      </c>
      <c r="P39" s="21" t="s">
        <v>211</v>
      </c>
    </row>
    <row r="40" spans="1:16" ht="12.75" customHeight="1" thickBot="1" x14ac:dyDescent="0.25">
      <c r="A40" s="2" t="str">
        <f t="shared" si="0"/>
        <v>IBVS 4363 </v>
      </c>
      <c r="B40" s="17" t="str">
        <f t="shared" si="1"/>
        <v>II</v>
      </c>
      <c r="C40" s="2">
        <f t="shared" si="2"/>
        <v>47085.591</v>
      </c>
      <c r="D40" s="8" t="str">
        <f t="shared" si="3"/>
        <v>vis</v>
      </c>
      <c r="E40" s="18">
        <f>VLOOKUP(C40,'Active 1'!C$21:E$971,3,FALSE)</f>
        <v>637.74088846356233</v>
      </c>
      <c r="F40" s="17" t="s">
        <v>48</v>
      </c>
      <c r="G40" s="8" t="str">
        <f t="shared" si="4"/>
        <v>47085.5910</v>
      </c>
      <c r="H40" s="2">
        <f t="shared" si="5"/>
        <v>637.5</v>
      </c>
      <c r="I40" s="19" t="s">
        <v>214</v>
      </c>
      <c r="J40" s="20" t="s">
        <v>215</v>
      </c>
      <c r="K40" s="19">
        <v>637.5</v>
      </c>
      <c r="L40" s="19" t="s">
        <v>216</v>
      </c>
      <c r="M40" s="20" t="s">
        <v>88</v>
      </c>
      <c r="N40" s="20" t="s">
        <v>89</v>
      </c>
      <c r="O40" s="21" t="s">
        <v>217</v>
      </c>
      <c r="P40" s="22" t="s">
        <v>218</v>
      </c>
    </row>
    <row r="41" spans="1:16" ht="12.75" customHeight="1" thickBot="1" x14ac:dyDescent="0.25">
      <c r="A41" s="2" t="str">
        <f t="shared" si="0"/>
        <v>IBVS 4363 </v>
      </c>
      <c r="B41" s="17" t="str">
        <f t="shared" si="1"/>
        <v>I</v>
      </c>
      <c r="C41" s="2">
        <f t="shared" si="2"/>
        <v>47087.566899999998</v>
      </c>
      <c r="D41" s="8" t="str">
        <f t="shared" si="3"/>
        <v>vis</v>
      </c>
      <c r="E41" s="18">
        <f>VLOOKUP(C41,'Active 1'!C$21:E$971,3,FALSE)</f>
        <v>637.9994883494137</v>
      </c>
      <c r="F41" s="17" t="s">
        <v>48</v>
      </c>
      <c r="G41" s="8" t="str">
        <f t="shared" si="4"/>
        <v>47087.5669</v>
      </c>
      <c r="H41" s="2">
        <f t="shared" si="5"/>
        <v>638</v>
      </c>
      <c r="I41" s="19" t="s">
        <v>219</v>
      </c>
      <c r="J41" s="20" t="s">
        <v>220</v>
      </c>
      <c r="K41" s="19">
        <v>638</v>
      </c>
      <c r="L41" s="19" t="s">
        <v>221</v>
      </c>
      <c r="M41" s="20" t="s">
        <v>88</v>
      </c>
      <c r="N41" s="20" t="s">
        <v>89</v>
      </c>
      <c r="O41" s="21" t="s">
        <v>217</v>
      </c>
      <c r="P41" s="22" t="s">
        <v>218</v>
      </c>
    </row>
    <row r="42" spans="1:16" ht="12.75" customHeight="1" thickBot="1" x14ac:dyDescent="0.25">
      <c r="A42" s="2" t="str">
        <f t="shared" si="0"/>
        <v> VSSC 72.26 </v>
      </c>
      <c r="B42" s="17" t="str">
        <f t="shared" si="1"/>
        <v>I</v>
      </c>
      <c r="C42" s="2">
        <f t="shared" si="2"/>
        <v>47408.4784</v>
      </c>
      <c r="D42" s="8" t="str">
        <f t="shared" si="3"/>
        <v>vis</v>
      </c>
      <c r="E42" s="18">
        <f>VLOOKUP(C42,'Active 1'!C$21:E$971,3,FALSE)</f>
        <v>679.9994262351845</v>
      </c>
      <c r="F42" s="17" t="s">
        <v>48</v>
      </c>
      <c r="G42" s="8" t="str">
        <f t="shared" si="4"/>
        <v>47408.4784</v>
      </c>
      <c r="H42" s="2">
        <f t="shared" si="5"/>
        <v>680</v>
      </c>
      <c r="I42" s="19" t="s">
        <v>222</v>
      </c>
      <c r="J42" s="20" t="s">
        <v>223</v>
      </c>
      <c r="K42" s="19">
        <v>680</v>
      </c>
      <c r="L42" s="19" t="s">
        <v>224</v>
      </c>
      <c r="M42" s="20" t="s">
        <v>88</v>
      </c>
      <c r="N42" s="20" t="s">
        <v>89</v>
      </c>
      <c r="O42" s="21" t="s">
        <v>225</v>
      </c>
      <c r="P42" s="21" t="s">
        <v>226</v>
      </c>
    </row>
    <row r="43" spans="1:16" ht="12.75" customHeight="1" thickBot="1" x14ac:dyDescent="0.25">
      <c r="A43" s="2" t="str">
        <f t="shared" ref="A43:A63" si="6">P43</f>
        <v>IBVS 3900 </v>
      </c>
      <c r="B43" s="17" t="str">
        <f t="shared" ref="B43:B63" si="7">IF(H43=INT(H43),"I","II")</f>
        <v>I</v>
      </c>
      <c r="C43" s="2">
        <f t="shared" ref="C43:C63" si="8">1*G43</f>
        <v>48019.737999999998</v>
      </c>
      <c r="D43" s="8" t="str">
        <f t="shared" ref="D43:D63" si="9">VLOOKUP(F43,I$1:J$5,2,FALSE)</f>
        <v>vis</v>
      </c>
      <c r="E43" s="18">
        <f>VLOOKUP(C43,'Active 1'!C$21:E$971,3,FALSE)</f>
        <v>759.999255571562</v>
      </c>
      <c r="F43" s="17" t="s">
        <v>48</v>
      </c>
      <c r="G43" s="8" t="str">
        <f t="shared" ref="G43:G63" si="10">MID(I43,3,LEN(I43)-3)</f>
        <v>48019.7380</v>
      </c>
      <c r="H43" s="2">
        <f t="shared" ref="H43:H63" si="11">1*K43</f>
        <v>760</v>
      </c>
      <c r="I43" s="19" t="s">
        <v>231</v>
      </c>
      <c r="J43" s="20" t="s">
        <v>232</v>
      </c>
      <c r="K43" s="19">
        <v>760</v>
      </c>
      <c r="L43" s="19" t="s">
        <v>233</v>
      </c>
      <c r="M43" s="20" t="s">
        <v>88</v>
      </c>
      <c r="N43" s="20" t="s">
        <v>89</v>
      </c>
      <c r="O43" s="21" t="s">
        <v>234</v>
      </c>
      <c r="P43" s="22" t="s">
        <v>235</v>
      </c>
    </row>
    <row r="44" spans="1:16" ht="12.75" customHeight="1" thickBot="1" x14ac:dyDescent="0.25">
      <c r="A44" s="2" t="str">
        <f t="shared" si="6"/>
        <v>IBVS 4340 </v>
      </c>
      <c r="B44" s="17" t="str">
        <f t="shared" si="7"/>
        <v>I</v>
      </c>
      <c r="C44" s="2">
        <f t="shared" si="8"/>
        <v>48409.417500000003</v>
      </c>
      <c r="D44" s="8" t="str">
        <f t="shared" si="9"/>
        <v>vis</v>
      </c>
      <c r="E44" s="18">
        <f>VLOOKUP(C44,'Active 1'!C$21:E$971,3,FALSE)</f>
        <v>810.99934374340501</v>
      </c>
      <c r="F44" s="17" t="s">
        <v>48</v>
      </c>
      <c r="G44" s="8" t="str">
        <f t="shared" si="10"/>
        <v>48409.4175</v>
      </c>
      <c r="H44" s="2">
        <f t="shared" si="11"/>
        <v>811</v>
      </c>
      <c r="I44" s="19" t="s">
        <v>236</v>
      </c>
      <c r="J44" s="20" t="s">
        <v>237</v>
      </c>
      <c r="K44" s="19">
        <v>811</v>
      </c>
      <c r="L44" s="19" t="s">
        <v>238</v>
      </c>
      <c r="M44" s="20" t="s">
        <v>88</v>
      </c>
      <c r="N44" s="20" t="s">
        <v>32</v>
      </c>
      <c r="O44" s="21" t="s">
        <v>239</v>
      </c>
      <c r="P44" s="22" t="s">
        <v>240</v>
      </c>
    </row>
    <row r="45" spans="1:16" ht="12.75" customHeight="1" thickBot="1" x14ac:dyDescent="0.25">
      <c r="A45" s="2" t="str">
        <f t="shared" si="6"/>
        <v>IBVS 4340 </v>
      </c>
      <c r="B45" s="17" t="str">
        <f t="shared" si="7"/>
        <v>I</v>
      </c>
      <c r="C45" s="2">
        <f t="shared" si="8"/>
        <v>48409.417600000001</v>
      </c>
      <c r="D45" s="8" t="str">
        <f t="shared" si="9"/>
        <v>vis</v>
      </c>
      <c r="E45" s="18">
        <f>VLOOKUP(C45,'Active 1'!C$21:E$971,3,FALSE)</f>
        <v>810.99935683110573</v>
      </c>
      <c r="F45" s="17" t="s">
        <v>48</v>
      </c>
      <c r="G45" s="8" t="str">
        <f t="shared" si="10"/>
        <v>48409.4176</v>
      </c>
      <c r="H45" s="2">
        <f t="shared" si="11"/>
        <v>811</v>
      </c>
      <c r="I45" s="19" t="s">
        <v>241</v>
      </c>
      <c r="J45" s="20" t="s">
        <v>237</v>
      </c>
      <c r="K45" s="19">
        <v>811</v>
      </c>
      <c r="L45" s="19" t="s">
        <v>242</v>
      </c>
      <c r="M45" s="20" t="s">
        <v>88</v>
      </c>
      <c r="N45" s="20" t="s">
        <v>243</v>
      </c>
      <c r="O45" s="21" t="s">
        <v>239</v>
      </c>
      <c r="P45" s="22" t="s">
        <v>240</v>
      </c>
    </row>
    <row r="46" spans="1:16" ht="12.75" customHeight="1" thickBot="1" x14ac:dyDescent="0.25">
      <c r="A46" s="2" t="str">
        <f t="shared" si="6"/>
        <v>IBVS 4340 </v>
      </c>
      <c r="B46" s="17" t="str">
        <f t="shared" si="7"/>
        <v>II</v>
      </c>
      <c r="C46" s="2">
        <f t="shared" si="8"/>
        <v>48430.358999999997</v>
      </c>
      <c r="D46" s="8" t="str">
        <f t="shared" si="9"/>
        <v>vis</v>
      </c>
      <c r="E46" s="18">
        <f>VLOOKUP(C46,'Active 1'!C$21:E$971,3,FALSE)</f>
        <v>813.74010466731886</v>
      </c>
      <c r="F46" s="17" t="s">
        <v>48</v>
      </c>
      <c r="G46" s="8" t="str">
        <f t="shared" si="10"/>
        <v>48430.3590</v>
      </c>
      <c r="H46" s="2">
        <f t="shared" si="11"/>
        <v>813.5</v>
      </c>
      <c r="I46" s="19" t="s">
        <v>249</v>
      </c>
      <c r="J46" s="20" t="s">
        <v>250</v>
      </c>
      <c r="K46" s="19">
        <v>813.5</v>
      </c>
      <c r="L46" s="19" t="s">
        <v>251</v>
      </c>
      <c r="M46" s="20" t="s">
        <v>88</v>
      </c>
      <c r="N46" s="20" t="s">
        <v>32</v>
      </c>
      <c r="O46" s="21" t="s">
        <v>239</v>
      </c>
      <c r="P46" s="22" t="s">
        <v>240</v>
      </c>
    </row>
    <row r="47" spans="1:16" ht="12.75" customHeight="1" thickBot="1" x14ac:dyDescent="0.25">
      <c r="A47" s="2" t="str">
        <f t="shared" si="6"/>
        <v>IBVS 4340 </v>
      </c>
      <c r="B47" s="17" t="str">
        <f t="shared" si="7"/>
        <v>II</v>
      </c>
      <c r="C47" s="2">
        <f t="shared" si="8"/>
        <v>48537.284599999999</v>
      </c>
      <c r="D47" s="8" t="str">
        <f t="shared" si="9"/>
        <v>vis</v>
      </c>
      <c r="E47" s="18">
        <f>VLOOKUP(C47,'Active 1'!C$21:E$971,3,FALSE)</f>
        <v>827.7342075847863</v>
      </c>
      <c r="F47" s="17" t="s">
        <v>48</v>
      </c>
      <c r="G47" s="8" t="str">
        <f t="shared" si="10"/>
        <v>48537.2846</v>
      </c>
      <c r="H47" s="2">
        <f t="shared" si="11"/>
        <v>827.5</v>
      </c>
      <c r="I47" s="19" t="s">
        <v>252</v>
      </c>
      <c r="J47" s="20" t="s">
        <v>253</v>
      </c>
      <c r="K47" s="19">
        <v>827.5</v>
      </c>
      <c r="L47" s="19" t="s">
        <v>254</v>
      </c>
      <c r="M47" s="20" t="s">
        <v>88</v>
      </c>
      <c r="N47" s="20" t="s">
        <v>243</v>
      </c>
      <c r="O47" s="21" t="s">
        <v>239</v>
      </c>
      <c r="P47" s="22" t="s">
        <v>240</v>
      </c>
    </row>
    <row r="48" spans="1:16" ht="12.75" customHeight="1" thickBot="1" x14ac:dyDescent="0.25">
      <c r="A48" s="2" t="str">
        <f t="shared" si="6"/>
        <v>IBVS 4340 </v>
      </c>
      <c r="B48" s="17" t="str">
        <f t="shared" si="7"/>
        <v>II</v>
      </c>
      <c r="C48" s="2">
        <f t="shared" si="8"/>
        <v>48537.288500000002</v>
      </c>
      <c r="D48" s="8" t="str">
        <f t="shared" si="9"/>
        <v>vis</v>
      </c>
      <c r="E48" s="18">
        <f>VLOOKUP(C48,'Active 1'!C$21:E$971,3,FALSE)</f>
        <v>827.73471800512937</v>
      </c>
      <c r="F48" s="17" t="s">
        <v>48</v>
      </c>
      <c r="G48" s="8" t="str">
        <f t="shared" si="10"/>
        <v>48537.2885</v>
      </c>
      <c r="H48" s="2">
        <f t="shared" si="11"/>
        <v>827.5</v>
      </c>
      <c r="I48" s="19" t="s">
        <v>255</v>
      </c>
      <c r="J48" s="20" t="s">
        <v>256</v>
      </c>
      <c r="K48" s="19">
        <v>827.5</v>
      </c>
      <c r="L48" s="19" t="s">
        <v>257</v>
      </c>
      <c r="M48" s="20" t="s">
        <v>88</v>
      </c>
      <c r="N48" s="20" t="s">
        <v>32</v>
      </c>
      <c r="O48" s="21" t="s">
        <v>239</v>
      </c>
      <c r="P48" s="22" t="s">
        <v>240</v>
      </c>
    </row>
    <row r="49" spans="1:16" ht="12.75" customHeight="1" thickBot="1" x14ac:dyDescent="0.25">
      <c r="A49" s="2" t="str">
        <f t="shared" si="6"/>
        <v> BBS 99 </v>
      </c>
      <c r="B49" s="17" t="str">
        <f t="shared" si="7"/>
        <v>I</v>
      </c>
      <c r="C49" s="2">
        <f t="shared" si="8"/>
        <v>48539.311800000003</v>
      </c>
      <c r="D49" s="8" t="str">
        <f t="shared" si="9"/>
        <v>vis</v>
      </c>
      <c r="E49" s="18">
        <f>VLOOKUP(C49,'Active 1'!C$21:E$971,3,FALSE)</f>
        <v>827.99952146129806</v>
      </c>
      <c r="F49" s="17" t="s">
        <v>48</v>
      </c>
      <c r="G49" s="8" t="str">
        <f t="shared" si="10"/>
        <v>48539.3118</v>
      </c>
      <c r="H49" s="2">
        <f t="shared" si="11"/>
        <v>828</v>
      </c>
      <c r="I49" s="19" t="s">
        <v>258</v>
      </c>
      <c r="J49" s="20" t="s">
        <v>259</v>
      </c>
      <c r="K49" s="19">
        <v>828</v>
      </c>
      <c r="L49" s="19" t="s">
        <v>260</v>
      </c>
      <c r="M49" s="20" t="s">
        <v>88</v>
      </c>
      <c r="N49" s="20" t="s">
        <v>89</v>
      </c>
      <c r="O49" s="21" t="s">
        <v>261</v>
      </c>
      <c r="P49" s="21" t="s">
        <v>262</v>
      </c>
    </row>
    <row r="50" spans="1:16" ht="12.75" customHeight="1" thickBot="1" x14ac:dyDescent="0.25">
      <c r="A50" s="2" t="str">
        <f t="shared" si="6"/>
        <v>IBVS 4009 </v>
      </c>
      <c r="B50" s="17" t="str">
        <f t="shared" si="7"/>
        <v>I</v>
      </c>
      <c r="C50" s="2">
        <f t="shared" si="8"/>
        <v>49234.614399999999</v>
      </c>
      <c r="D50" s="8" t="str">
        <f t="shared" si="9"/>
        <v>vis</v>
      </c>
      <c r="E50" s="18">
        <f>VLOOKUP(C50,'Active 1'!C$21:E$971,3,FALSE)</f>
        <v>918.99864742535556</v>
      </c>
      <c r="F50" s="17" t="s">
        <v>48</v>
      </c>
      <c r="G50" s="8" t="str">
        <f t="shared" si="10"/>
        <v>49234.6144</v>
      </c>
      <c r="H50" s="2">
        <f t="shared" si="11"/>
        <v>919</v>
      </c>
      <c r="I50" s="19" t="s">
        <v>263</v>
      </c>
      <c r="J50" s="20" t="s">
        <v>264</v>
      </c>
      <c r="K50" s="19">
        <v>919</v>
      </c>
      <c r="L50" s="19" t="s">
        <v>265</v>
      </c>
      <c r="M50" s="20" t="s">
        <v>88</v>
      </c>
      <c r="N50" s="20" t="s">
        <v>89</v>
      </c>
      <c r="O50" s="21" t="s">
        <v>266</v>
      </c>
      <c r="P50" s="22" t="s">
        <v>267</v>
      </c>
    </row>
    <row r="51" spans="1:16" ht="12.75" customHeight="1" thickBot="1" x14ac:dyDescent="0.25">
      <c r="A51" s="2" t="str">
        <f t="shared" si="6"/>
        <v>IBVS 5136 </v>
      </c>
      <c r="B51" s="17" t="str">
        <f t="shared" si="7"/>
        <v>I</v>
      </c>
      <c r="C51" s="2">
        <f t="shared" si="8"/>
        <v>51771.344100000002</v>
      </c>
      <c r="D51" s="8" t="str">
        <f t="shared" si="9"/>
        <v>vis</v>
      </c>
      <c r="E51" s="18">
        <f>VLOOKUP(C51,'Active 1'!C$21:E$971,3,FALSE)</f>
        <v>1250.9982480410695</v>
      </c>
      <c r="F51" s="17" t="s">
        <v>48</v>
      </c>
      <c r="G51" s="8" t="str">
        <f t="shared" si="10"/>
        <v>51771.3441</v>
      </c>
      <c r="H51" s="2">
        <f t="shared" si="11"/>
        <v>1251</v>
      </c>
      <c r="I51" s="19" t="s">
        <v>277</v>
      </c>
      <c r="J51" s="20" t="s">
        <v>278</v>
      </c>
      <c r="K51" s="19">
        <v>1251</v>
      </c>
      <c r="L51" s="19" t="s">
        <v>279</v>
      </c>
      <c r="M51" s="20" t="s">
        <v>88</v>
      </c>
      <c r="N51" s="20" t="s">
        <v>89</v>
      </c>
      <c r="O51" s="21" t="s">
        <v>280</v>
      </c>
      <c r="P51" s="22" t="s">
        <v>281</v>
      </c>
    </row>
    <row r="52" spans="1:16" ht="12.75" customHeight="1" thickBot="1" x14ac:dyDescent="0.25">
      <c r="A52" s="2" t="str">
        <f t="shared" si="6"/>
        <v>OEJV 0074 </v>
      </c>
      <c r="B52" s="17" t="str">
        <f t="shared" si="7"/>
        <v>II</v>
      </c>
      <c r="C52" s="2">
        <f t="shared" si="8"/>
        <v>53618.421040000001</v>
      </c>
      <c r="D52" s="8" t="str">
        <f t="shared" si="9"/>
        <v>vis</v>
      </c>
      <c r="E52" s="18">
        <f>VLOOKUP(C52,'Active 1'!C$21:E$971,3,FALSE)</f>
        <v>1492.7381568640292</v>
      </c>
      <c r="F52" s="17" t="s">
        <v>48</v>
      </c>
      <c r="G52" s="8" t="str">
        <f t="shared" si="10"/>
        <v>53618.42104</v>
      </c>
      <c r="H52" s="2">
        <f t="shared" si="11"/>
        <v>1492.5</v>
      </c>
      <c r="I52" s="19" t="s">
        <v>285</v>
      </c>
      <c r="J52" s="20" t="s">
        <v>286</v>
      </c>
      <c r="K52" s="19">
        <v>1492.5</v>
      </c>
      <c r="L52" s="19" t="s">
        <v>287</v>
      </c>
      <c r="M52" s="20" t="s">
        <v>288</v>
      </c>
      <c r="N52" s="20" t="s">
        <v>289</v>
      </c>
      <c r="O52" s="21" t="s">
        <v>290</v>
      </c>
      <c r="P52" s="22" t="s">
        <v>291</v>
      </c>
    </row>
    <row r="53" spans="1:16" ht="12.75" customHeight="1" thickBot="1" x14ac:dyDescent="0.25">
      <c r="A53" s="2" t="str">
        <f t="shared" si="6"/>
        <v>OEJV 0074 </v>
      </c>
      <c r="B53" s="17" t="str">
        <f t="shared" si="7"/>
        <v>I</v>
      </c>
      <c r="C53" s="2">
        <f t="shared" si="8"/>
        <v>53620.409919999998</v>
      </c>
      <c r="D53" s="8" t="str">
        <f t="shared" si="9"/>
        <v>vis</v>
      </c>
      <c r="E53" s="18">
        <f>VLOOKUP(C53,'Active 1'!C$21:E$971,3,FALSE)</f>
        <v>1492.998455533482</v>
      </c>
      <c r="F53" s="17" t="s">
        <v>48</v>
      </c>
      <c r="G53" s="8" t="str">
        <f t="shared" si="10"/>
        <v>53620.40992</v>
      </c>
      <c r="H53" s="2">
        <f t="shared" si="11"/>
        <v>1493</v>
      </c>
      <c r="I53" s="19" t="s">
        <v>292</v>
      </c>
      <c r="J53" s="20" t="s">
        <v>293</v>
      </c>
      <c r="K53" s="19">
        <v>1493</v>
      </c>
      <c r="L53" s="19" t="s">
        <v>294</v>
      </c>
      <c r="M53" s="20" t="s">
        <v>288</v>
      </c>
      <c r="N53" s="20" t="s">
        <v>289</v>
      </c>
      <c r="O53" s="21" t="s">
        <v>290</v>
      </c>
      <c r="P53" s="22" t="s">
        <v>291</v>
      </c>
    </row>
    <row r="54" spans="1:16" ht="12.75" customHeight="1" thickBot="1" x14ac:dyDescent="0.25">
      <c r="A54" s="2" t="str">
        <f t="shared" si="6"/>
        <v> APJ 156.667 </v>
      </c>
      <c r="B54" s="17" t="str">
        <f t="shared" si="7"/>
        <v>II</v>
      </c>
      <c r="C54" s="2">
        <f t="shared" si="8"/>
        <v>38932.934000000001</v>
      </c>
      <c r="D54" s="8" t="str">
        <f t="shared" si="9"/>
        <v>vis</v>
      </c>
      <c r="E54" s="18">
        <f>VLOOKUP(C54,'Active 1'!C$21:E$971,3,FALSE)</f>
        <v>-429.25449064872578</v>
      </c>
      <c r="F54" s="17" t="s">
        <v>48</v>
      </c>
      <c r="G54" s="8" t="str">
        <f t="shared" si="10"/>
        <v>38932.934</v>
      </c>
      <c r="H54" s="2">
        <f t="shared" si="11"/>
        <v>-429.5</v>
      </c>
      <c r="I54" s="19" t="s">
        <v>85</v>
      </c>
      <c r="J54" s="20" t="s">
        <v>86</v>
      </c>
      <c r="K54" s="19">
        <v>-429.5</v>
      </c>
      <c r="L54" s="19" t="s">
        <v>87</v>
      </c>
      <c r="M54" s="20" t="s">
        <v>88</v>
      </c>
      <c r="N54" s="20" t="s">
        <v>89</v>
      </c>
      <c r="O54" s="21" t="s">
        <v>90</v>
      </c>
      <c r="P54" s="21" t="s">
        <v>91</v>
      </c>
    </row>
    <row r="55" spans="1:16" ht="12.75" customHeight="1" thickBot="1" x14ac:dyDescent="0.25">
      <c r="A55" s="2" t="str">
        <f t="shared" si="6"/>
        <v> AAPS 20.210 </v>
      </c>
      <c r="B55" s="17" t="str">
        <f t="shared" si="7"/>
        <v>II</v>
      </c>
      <c r="C55" s="2">
        <f t="shared" si="8"/>
        <v>38978.780700000003</v>
      </c>
      <c r="D55" s="8" t="str">
        <f t="shared" si="9"/>
        <v>vis</v>
      </c>
      <c r="E55" s="18">
        <f>VLOOKUP(C55,'Active 1'!C$21:E$971,3,FALSE)</f>
        <v>-423.25421159276283</v>
      </c>
      <c r="F55" s="17" t="s">
        <v>48</v>
      </c>
      <c r="G55" s="8" t="str">
        <f t="shared" si="10"/>
        <v>38978.7807</v>
      </c>
      <c r="H55" s="2">
        <f t="shared" si="11"/>
        <v>-423.5</v>
      </c>
      <c r="I55" s="19" t="s">
        <v>92</v>
      </c>
      <c r="J55" s="20" t="s">
        <v>93</v>
      </c>
      <c r="K55" s="19">
        <v>-423.5</v>
      </c>
      <c r="L55" s="19" t="s">
        <v>94</v>
      </c>
      <c r="M55" s="20" t="s">
        <v>88</v>
      </c>
      <c r="N55" s="20" t="s">
        <v>89</v>
      </c>
      <c r="O55" s="21" t="s">
        <v>95</v>
      </c>
      <c r="P55" s="21" t="s">
        <v>96</v>
      </c>
    </row>
    <row r="56" spans="1:16" ht="12.75" customHeight="1" thickBot="1" x14ac:dyDescent="0.25">
      <c r="A56" s="2" t="str">
        <f t="shared" si="6"/>
        <v> AAPS 20.210 </v>
      </c>
      <c r="B56" s="17" t="str">
        <f t="shared" si="7"/>
        <v>I</v>
      </c>
      <c r="C56" s="2">
        <f t="shared" si="8"/>
        <v>39385.688099999999</v>
      </c>
      <c r="D56" s="8" t="str">
        <f t="shared" si="9"/>
        <v>vis</v>
      </c>
      <c r="E56" s="18">
        <f>VLOOKUP(C56,'Active 1'!C$21:E$971,3,FALSE)</f>
        <v>-369.99938736471159</v>
      </c>
      <c r="F56" s="17" t="s">
        <v>48</v>
      </c>
      <c r="G56" s="8" t="str">
        <f t="shared" si="10"/>
        <v>39385.6881</v>
      </c>
      <c r="H56" s="2">
        <f t="shared" si="11"/>
        <v>-370</v>
      </c>
      <c r="I56" s="19" t="s">
        <v>97</v>
      </c>
      <c r="J56" s="20" t="s">
        <v>98</v>
      </c>
      <c r="K56" s="19">
        <v>-370</v>
      </c>
      <c r="L56" s="19" t="s">
        <v>99</v>
      </c>
      <c r="M56" s="20" t="s">
        <v>88</v>
      </c>
      <c r="N56" s="20" t="s">
        <v>89</v>
      </c>
      <c r="O56" s="21" t="s">
        <v>95</v>
      </c>
      <c r="P56" s="21" t="s">
        <v>96</v>
      </c>
    </row>
    <row r="57" spans="1:16" ht="12.75" customHeight="1" thickBot="1" x14ac:dyDescent="0.25">
      <c r="A57" s="2" t="str">
        <f t="shared" si="6"/>
        <v>IBVS 817 </v>
      </c>
      <c r="B57" s="17" t="str">
        <f t="shared" si="7"/>
        <v>I</v>
      </c>
      <c r="C57" s="2">
        <f t="shared" si="8"/>
        <v>40837.431299999997</v>
      </c>
      <c r="D57" s="8" t="str">
        <f t="shared" si="9"/>
        <v>vis</v>
      </c>
      <c r="E57" s="18">
        <f>VLOOKUP(C57,'Active 1'!C$21:E$971,3,FALSE)</f>
        <v>-179.99957674374676</v>
      </c>
      <c r="F57" s="17" t="s">
        <v>48</v>
      </c>
      <c r="G57" s="8" t="str">
        <f t="shared" si="10"/>
        <v>40837.4313</v>
      </c>
      <c r="H57" s="2">
        <f t="shared" si="11"/>
        <v>-180</v>
      </c>
      <c r="I57" s="19" t="s">
        <v>100</v>
      </c>
      <c r="J57" s="20" t="s">
        <v>101</v>
      </c>
      <c r="K57" s="19">
        <v>-180</v>
      </c>
      <c r="L57" s="19" t="s">
        <v>102</v>
      </c>
      <c r="M57" s="20" t="s">
        <v>88</v>
      </c>
      <c r="N57" s="20" t="s">
        <v>89</v>
      </c>
      <c r="O57" s="21" t="s">
        <v>103</v>
      </c>
      <c r="P57" s="22" t="s">
        <v>104</v>
      </c>
    </row>
    <row r="58" spans="1:16" ht="12.75" customHeight="1" thickBot="1" x14ac:dyDescent="0.25">
      <c r="A58" s="2" t="str">
        <f t="shared" si="6"/>
        <v> VSSC 73 </v>
      </c>
      <c r="B58" s="17" t="str">
        <f t="shared" si="7"/>
        <v>I</v>
      </c>
      <c r="C58" s="2">
        <f t="shared" si="8"/>
        <v>47790.516000000003</v>
      </c>
      <c r="D58" s="8" t="str">
        <f t="shared" si="9"/>
        <v>vis</v>
      </c>
      <c r="E58" s="18">
        <f>VLOOKUP(C58,'Active 1'!C$21:E$971,3,FALSE)</f>
        <v>729.99936537737494</v>
      </c>
      <c r="F58" s="17" t="s">
        <v>48</v>
      </c>
      <c r="G58" s="8" t="str">
        <f t="shared" si="10"/>
        <v>47790.5160</v>
      </c>
      <c r="H58" s="2">
        <f t="shared" si="11"/>
        <v>730</v>
      </c>
      <c r="I58" s="19" t="s">
        <v>227</v>
      </c>
      <c r="J58" s="20" t="s">
        <v>228</v>
      </c>
      <c r="K58" s="19">
        <v>730</v>
      </c>
      <c r="L58" s="19" t="s">
        <v>229</v>
      </c>
      <c r="M58" s="20" t="s">
        <v>88</v>
      </c>
      <c r="N58" s="20" t="s">
        <v>89</v>
      </c>
      <c r="O58" s="21" t="s">
        <v>225</v>
      </c>
      <c r="P58" s="21" t="s">
        <v>230</v>
      </c>
    </row>
    <row r="59" spans="1:16" ht="12.75" customHeight="1" thickBot="1" x14ac:dyDescent="0.25">
      <c r="A59" s="2" t="str">
        <f t="shared" si="6"/>
        <v>BAVM 59 </v>
      </c>
      <c r="B59" s="17" t="str">
        <f t="shared" si="7"/>
        <v>I</v>
      </c>
      <c r="C59" s="2">
        <f t="shared" si="8"/>
        <v>48409.418400000002</v>
      </c>
      <c r="D59" s="8" t="str">
        <f t="shared" si="9"/>
        <v>vis</v>
      </c>
      <c r="E59" s="18" t="e">
        <f>VLOOKUP(C59,'Active 1'!C$21:E$971,3,FALSE)</f>
        <v>#N/A</v>
      </c>
      <c r="F59" s="17" t="s">
        <v>48</v>
      </c>
      <c r="G59" s="8" t="str">
        <f t="shared" si="10"/>
        <v>48409.4184</v>
      </c>
      <c r="H59" s="2">
        <f t="shared" si="11"/>
        <v>811</v>
      </c>
      <c r="I59" s="19" t="s">
        <v>244</v>
      </c>
      <c r="J59" s="20" t="s">
        <v>245</v>
      </c>
      <c r="K59" s="19">
        <v>811</v>
      </c>
      <c r="L59" s="19" t="s">
        <v>246</v>
      </c>
      <c r="M59" s="20" t="s">
        <v>88</v>
      </c>
      <c r="N59" s="20" t="s">
        <v>48</v>
      </c>
      <c r="O59" s="21" t="s">
        <v>247</v>
      </c>
      <c r="P59" s="22" t="s">
        <v>248</v>
      </c>
    </row>
    <row r="60" spans="1:16" ht="12.75" customHeight="1" thickBot="1" x14ac:dyDescent="0.25">
      <c r="A60" s="2" t="str">
        <f t="shared" si="6"/>
        <v> BBS 122 </v>
      </c>
      <c r="B60" s="17" t="str">
        <f t="shared" si="7"/>
        <v>I</v>
      </c>
      <c r="C60" s="2">
        <f t="shared" si="8"/>
        <v>51427.512999999999</v>
      </c>
      <c r="D60" s="8" t="str">
        <f t="shared" si="9"/>
        <v>vis</v>
      </c>
      <c r="E60" s="18">
        <f>VLOOKUP(C60,'Active 1'!C$21:E$971,3,FALSE)</f>
        <v>1205.998661416108</v>
      </c>
      <c r="F60" s="17" t="s">
        <v>48</v>
      </c>
      <c r="G60" s="8" t="str">
        <f t="shared" si="10"/>
        <v>51427.513</v>
      </c>
      <c r="H60" s="2">
        <f t="shared" si="11"/>
        <v>1206</v>
      </c>
      <c r="I60" s="19" t="s">
        <v>268</v>
      </c>
      <c r="J60" s="20" t="s">
        <v>269</v>
      </c>
      <c r="K60" s="19">
        <v>1206</v>
      </c>
      <c r="L60" s="19" t="s">
        <v>270</v>
      </c>
      <c r="M60" s="20" t="s">
        <v>111</v>
      </c>
      <c r="N60" s="20"/>
      <c r="O60" s="21" t="s">
        <v>271</v>
      </c>
      <c r="P60" s="21" t="s">
        <v>272</v>
      </c>
    </row>
    <row r="61" spans="1:16" ht="12.75" customHeight="1" thickBot="1" x14ac:dyDescent="0.25">
      <c r="A61" s="2" t="str">
        <f t="shared" si="6"/>
        <v> BBS 124 </v>
      </c>
      <c r="B61" s="17" t="str">
        <f t="shared" si="7"/>
        <v>I</v>
      </c>
      <c r="C61" s="2">
        <f t="shared" si="8"/>
        <v>51664.368999999999</v>
      </c>
      <c r="D61" s="8" t="str">
        <f t="shared" si="9"/>
        <v>vis</v>
      </c>
      <c r="E61" s="18">
        <f>VLOOKUP(C61,'Active 1'!C$21:E$971,3,FALSE)</f>
        <v>1236.997666711562</v>
      </c>
      <c r="F61" s="17" t="s">
        <v>48</v>
      </c>
      <c r="G61" s="8" t="str">
        <f t="shared" si="10"/>
        <v>51664.369</v>
      </c>
      <c r="H61" s="2">
        <f t="shared" si="11"/>
        <v>1237</v>
      </c>
      <c r="I61" s="19" t="s">
        <v>273</v>
      </c>
      <c r="J61" s="20" t="s">
        <v>274</v>
      </c>
      <c r="K61" s="19">
        <v>1237</v>
      </c>
      <c r="L61" s="19" t="s">
        <v>275</v>
      </c>
      <c r="M61" s="20" t="s">
        <v>111</v>
      </c>
      <c r="N61" s="20"/>
      <c r="O61" s="21" t="s">
        <v>271</v>
      </c>
      <c r="P61" s="21" t="s">
        <v>276</v>
      </c>
    </row>
    <row r="62" spans="1:16" ht="12.75" customHeight="1" thickBot="1" x14ac:dyDescent="0.25">
      <c r="A62" s="2" t="str">
        <f t="shared" si="6"/>
        <v>IBVS 5136 </v>
      </c>
      <c r="B62" s="17" t="str">
        <f t="shared" si="7"/>
        <v>II</v>
      </c>
      <c r="C62" s="2">
        <f t="shared" si="8"/>
        <v>51792.286399999997</v>
      </c>
      <c r="D62" s="8" t="str">
        <f t="shared" si="9"/>
        <v>vis</v>
      </c>
      <c r="E62" s="18">
        <f>VLOOKUP(C62,'Active 1'!C$21:E$971,3,FALSE)</f>
        <v>1253.7391136665924</v>
      </c>
      <c r="F62" s="17" t="s">
        <v>48</v>
      </c>
      <c r="G62" s="8" t="str">
        <f t="shared" si="10"/>
        <v>51792.2864</v>
      </c>
      <c r="H62" s="2">
        <f t="shared" si="11"/>
        <v>1253.5</v>
      </c>
      <c r="I62" s="19" t="s">
        <v>282</v>
      </c>
      <c r="J62" s="20" t="s">
        <v>283</v>
      </c>
      <c r="K62" s="19">
        <v>1253.5</v>
      </c>
      <c r="L62" s="19" t="s">
        <v>284</v>
      </c>
      <c r="M62" s="20" t="s">
        <v>88</v>
      </c>
      <c r="N62" s="20" t="s">
        <v>89</v>
      </c>
      <c r="O62" s="21" t="s">
        <v>280</v>
      </c>
      <c r="P62" s="22" t="s">
        <v>281</v>
      </c>
    </row>
    <row r="63" spans="1:16" ht="12.75" customHeight="1" thickBot="1" x14ac:dyDescent="0.25">
      <c r="A63" s="2" t="str">
        <f t="shared" si="6"/>
        <v>OEJV 0137 </v>
      </c>
      <c r="B63" s="17" t="str">
        <f t="shared" si="7"/>
        <v>I</v>
      </c>
      <c r="C63" s="2">
        <f t="shared" si="8"/>
        <v>55064.508999999998</v>
      </c>
      <c r="D63" s="8" t="str">
        <f t="shared" si="9"/>
        <v>vis</v>
      </c>
      <c r="E63" s="18" t="e">
        <f>VLOOKUP(C63,'Active 1'!C$21:E$971,3,FALSE)</f>
        <v>#N/A</v>
      </c>
      <c r="F63" s="17" t="s">
        <v>48</v>
      </c>
      <c r="G63" s="8" t="str">
        <f t="shared" si="10"/>
        <v>55064.5090</v>
      </c>
      <c r="H63" s="2">
        <f t="shared" si="11"/>
        <v>1682</v>
      </c>
      <c r="I63" s="19" t="s">
        <v>295</v>
      </c>
      <c r="J63" s="20" t="s">
        <v>296</v>
      </c>
      <c r="K63" s="19">
        <v>1682</v>
      </c>
      <c r="L63" s="19" t="s">
        <v>297</v>
      </c>
      <c r="M63" s="20" t="s">
        <v>288</v>
      </c>
      <c r="N63" s="20" t="s">
        <v>76</v>
      </c>
      <c r="O63" s="21" t="s">
        <v>298</v>
      </c>
      <c r="P63" s="22" t="s">
        <v>299</v>
      </c>
    </row>
    <row r="64" spans="1:1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</sheetData>
  <phoneticPr fontId="8" type="noConversion"/>
  <hyperlinks>
    <hyperlink ref="P57" r:id="rId1" display="http://www.konkoly.hu/cgi-bin/IBVS?817"/>
    <hyperlink ref="P11" r:id="rId2" display="http://www.konkoly.hu/cgi-bin/IBVS?817"/>
    <hyperlink ref="P17" r:id="rId3" display="http://www.konkoly.hu/cgi-bin/IBVS?3070"/>
    <hyperlink ref="P34" r:id="rId4" display="http://www.bav-astro.de/sfs/BAVM_link.php?BAVMnr=43"/>
    <hyperlink ref="P40" r:id="rId5" display="http://www.konkoly.hu/cgi-bin/IBVS?4363"/>
    <hyperlink ref="P41" r:id="rId6" display="http://www.konkoly.hu/cgi-bin/IBVS?4363"/>
    <hyperlink ref="P43" r:id="rId7" display="http://www.konkoly.hu/cgi-bin/IBVS?3900"/>
    <hyperlink ref="P44" r:id="rId8" display="http://www.konkoly.hu/cgi-bin/IBVS?4340"/>
    <hyperlink ref="P45" r:id="rId9" display="http://www.konkoly.hu/cgi-bin/IBVS?4340"/>
    <hyperlink ref="P59" r:id="rId10" display="http://www.bav-astro.de/sfs/BAVM_link.php?BAVMnr=59"/>
    <hyperlink ref="P46" r:id="rId11" display="http://www.konkoly.hu/cgi-bin/IBVS?4340"/>
    <hyperlink ref="P47" r:id="rId12" display="http://www.konkoly.hu/cgi-bin/IBVS?4340"/>
    <hyperlink ref="P48" r:id="rId13" display="http://www.konkoly.hu/cgi-bin/IBVS?4340"/>
    <hyperlink ref="P50" r:id="rId14" display="http://www.konkoly.hu/cgi-bin/IBVS?4009"/>
    <hyperlink ref="P51" r:id="rId15" display="http://www.konkoly.hu/cgi-bin/IBVS?5136"/>
    <hyperlink ref="P62" r:id="rId16" display="http://www.konkoly.hu/cgi-bin/IBVS?5136"/>
    <hyperlink ref="P52" r:id="rId17" display="http://var.astro.cz/oejv/issues/oejv0074.pdf"/>
    <hyperlink ref="P53" r:id="rId18" display="http://var.astro.cz/oejv/issues/oejv0074.pdf"/>
    <hyperlink ref="P63" r:id="rId19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2024-02-04T04:08:06Z</dcterms:modified>
</cp:coreProperties>
</file>