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A445E74-F02F-4815-AC7E-7666ECAC35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2" r:id="rId1"/>
    <sheet name="Active 2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22" i="2" l="1"/>
  <c r="F22" i="2" s="1"/>
  <c r="G22" i="2" s="1"/>
  <c r="I22" i="2" s="1"/>
  <c r="Q22" i="2"/>
  <c r="E23" i="2"/>
  <c r="F23" i="2"/>
  <c r="G23" i="2" s="1"/>
  <c r="I23" i="2" s="1"/>
  <c r="Q23" i="2"/>
  <c r="E24" i="2"/>
  <c r="F24" i="2" s="1"/>
  <c r="G24" i="2" s="1"/>
  <c r="I24" i="2" s="1"/>
  <c r="Q24" i="2"/>
  <c r="E25" i="2"/>
  <c r="F25" i="2" s="1"/>
  <c r="G25" i="2" s="1"/>
  <c r="I25" i="2" s="1"/>
  <c r="Q25" i="2"/>
  <c r="E26" i="2"/>
  <c r="F26" i="2" s="1"/>
  <c r="G26" i="2" s="1"/>
  <c r="I26" i="2" s="1"/>
  <c r="Q26" i="2"/>
  <c r="E27" i="2"/>
  <c r="F27" i="2"/>
  <c r="G27" i="2" s="1"/>
  <c r="I27" i="2" s="1"/>
  <c r="Q27" i="2"/>
  <c r="E28" i="2"/>
  <c r="F28" i="2" s="1"/>
  <c r="G28" i="2" s="1"/>
  <c r="I28" i="2" s="1"/>
  <c r="Q28" i="2"/>
  <c r="E29" i="2"/>
  <c r="F29" i="2" s="1"/>
  <c r="G29" i="2" s="1"/>
  <c r="I29" i="2" s="1"/>
  <c r="Q29" i="2"/>
  <c r="E30" i="2"/>
  <c r="F30" i="2" s="1"/>
  <c r="G30" i="2" s="1"/>
  <c r="I30" i="2" s="1"/>
  <c r="Q30" i="2"/>
  <c r="E31" i="2"/>
  <c r="F31" i="2"/>
  <c r="G31" i="2" s="1"/>
  <c r="I31" i="2" s="1"/>
  <c r="Q31" i="2"/>
  <c r="E32" i="2"/>
  <c r="F32" i="2" s="1"/>
  <c r="G32" i="2" s="1"/>
  <c r="I32" i="2" s="1"/>
  <c r="Q32" i="2"/>
  <c r="E33" i="2"/>
  <c r="F33" i="2" s="1"/>
  <c r="G33" i="2" s="1"/>
  <c r="K33" i="2" s="1"/>
  <c r="Q33" i="2"/>
  <c r="E34" i="2"/>
  <c r="F34" i="2" s="1"/>
  <c r="G34" i="2" s="1"/>
  <c r="J34" i="2" s="1"/>
  <c r="Q34" i="2"/>
  <c r="E35" i="2"/>
  <c r="F35" i="2"/>
  <c r="G35" i="2" s="1"/>
  <c r="K35" i="2" s="1"/>
  <c r="Q35" i="2"/>
  <c r="E36" i="2"/>
  <c r="F36" i="2" s="1"/>
  <c r="G36" i="2" s="1"/>
  <c r="I36" i="2" s="1"/>
  <c r="Q36" i="2"/>
  <c r="E37" i="2"/>
  <c r="F37" i="2" s="1"/>
  <c r="G37" i="2" s="1"/>
  <c r="J37" i="2" s="1"/>
  <c r="Q37" i="2"/>
  <c r="E38" i="2"/>
  <c r="F38" i="2" s="1"/>
  <c r="G38" i="2" s="1"/>
  <c r="I38" i="2" s="1"/>
  <c r="Q38" i="2"/>
  <c r="E39" i="2"/>
  <c r="F39" i="2"/>
  <c r="G39" i="2" s="1"/>
  <c r="K39" i="2" s="1"/>
  <c r="Q39" i="2"/>
  <c r="E40" i="2"/>
  <c r="F40" i="2" s="1"/>
  <c r="G40" i="2" s="1"/>
  <c r="I40" i="2" s="1"/>
  <c r="Q40" i="2"/>
  <c r="E41" i="2"/>
  <c r="F41" i="2" s="1"/>
  <c r="G41" i="2" s="1"/>
  <c r="I41" i="2" s="1"/>
  <c r="Q41" i="2"/>
  <c r="E42" i="2"/>
  <c r="F42" i="2"/>
  <c r="G42" i="2" s="1"/>
  <c r="I42" i="2" s="1"/>
  <c r="Q42" i="2"/>
  <c r="E43" i="2"/>
  <c r="F43" i="2"/>
  <c r="G43" i="2" s="1"/>
  <c r="K43" i="2" s="1"/>
  <c r="Q43" i="2"/>
  <c r="E44" i="2"/>
  <c r="F44" i="2" s="1"/>
  <c r="G44" i="2" s="1"/>
  <c r="K44" i="2" s="1"/>
  <c r="Q44" i="2"/>
  <c r="E45" i="2"/>
  <c r="F45" i="2" s="1"/>
  <c r="G45" i="2" s="1"/>
  <c r="K45" i="2" s="1"/>
  <c r="Q45" i="2"/>
  <c r="E46" i="2"/>
  <c r="F46" i="2"/>
  <c r="G46" i="2" s="1"/>
  <c r="K46" i="2" s="1"/>
  <c r="Q46" i="2"/>
  <c r="E47" i="2"/>
  <c r="F47" i="2"/>
  <c r="G47" i="2" s="1"/>
  <c r="K47" i="2" s="1"/>
  <c r="Q47" i="2"/>
  <c r="E48" i="2"/>
  <c r="F48" i="2" s="1"/>
  <c r="G48" i="2" s="1"/>
  <c r="K48" i="2" s="1"/>
  <c r="Q48" i="2"/>
  <c r="E49" i="2"/>
  <c r="F49" i="2" s="1"/>
  <c r="G49" i="2" s="1"/>
  <c r="K49" i="2" s="1"/>
  <c r="Q49" i="2"/>
  <c r="E50" i="2"/>
  <c r="F50" i="2"/>
  <c r="G50" i="2" s="1"/>
  <c r="K50" i="2" s="1"/>
  <c r="Q50" i="2"/>
  <c r="E51" i="2"/>
  <c r="F51" i="2"/>
  <c r="G51" i="2" s="1"/>
  <c r="K51" i="2" s="1"/>
  <c r="Q51" i="2"/>
  <c r="E52" i="2"/>
  <c r="F52" i="2" s="1"/>
  <c r="G52" i="2" s="1"/>
  <c r="K52" i="2" s="1"/>
  <c r="Q52" i="2"/>
  <c r="E53" i="2"/>
  <c r="F53" i="2" s="1"/>
  <c r="G53" i="2" s="1"/>
  <c r="K53" i="2" s="1"/>
  <c r="Q53" i="2"/>
  <c r="E54" i="2"/>
  <c r="F54" i="2"/>
  <c r="G54" i="2" s="1"/>
  <c r="K54" i="2" s="1"/>
  <c r="Q54" i="2"/>
  <c r="E55" i="2"/>
  <c r="F55" i="2"/>
  <c r="G55" i="2" s="1"/>
  <c r="K55" i="2" s="1"/>
  <c r="Q55" i="2"/>
  <c r="E56" i="2"/>
  <c r="F56" i="2" s="1"/>
  <c r="G56" i="2" s="1"/>
  <c r="K56" i="2" s="1"/>
  <c r="Q56" i="2"/>
  <c r="E57" i="2"/>
  <c r="F57" i="2" s="1"/>
  <c r="G57" i="2" s="1"/>
  <c r="K57" i="2" s="1"/>
  <c r="Q57" i="2"/>
  <c r="E58" i="2"/>
  <c r="F58" i="2"/>
  <c r="G58" i="2" s="1"/>
  <c r="K58" i="2" s="1"/>
  <c r="Q58" i="2"/>
  <c r="E59" i="2"/>
  <c r="F59" i="2"/>
  <c r="G59" i="2" s="1"/>
  <c r="K59" i="2" s="1"/>
  <c r="Q59" i="2"/>
  <c r="E60" i="2"/>
  <c r="F60" i="2" s="1"/>
  <c r="G60" i="2" s="1"/>
  <c r="K60" i="2" s="1"/>
  <c r="Q60" i="2"/>
  <c r="E61" i="2"/>
  <c r="F61" i="2" s="1"/>
  <c r="G61" i="2" s="1"/>
  <c r="K61" i="2" s="1"/>
  <c r="Q61" i="2"/>
  <c r="E62" i="2"/>
  <c r="F62" i="2"/>
  <c r="G62" i="2" s="1"/>
  <c r="K62" i="2" s="1"/>
  <c r="Q62" i="2"/>
  <c r="E63" i="2"/>
  <c r="F63" i="2"/>
  <c r="G63" i="2" s="1"/>
  <c r="K63" i="2" s="1"/>
  <c r="Q63" i="2"/>
  <c r="E33" i="1"/>
  <c r="F33" i="1" s="1"/>
  <c r="G33" i="1" s="1"/>
  <c r="K33" i="1" s="1"/>
  <c r="Q33" i="1"/>
  <c r="F14" i="2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/>
  <c r="G54" i="1" s="1"/>
  <c r="K54" i="1" s="1"/>
  <c r="Q54" i="1"/>
  <c r="E55" i="1"/>
  <c r="F55" i="1" s="1"/>
  <c r="G55" i="1" s="1"/>
  <c r="K55" i="1" s="1"/>
  <c r="Q55" i="1"/>
  <c r="E56" i="1"/>
  <c r="F56" i="1"/>
  <c r="G56" i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/>
  <c r="G63" i="1"/>
  <c r="K63" i="1" s="1"/>
  <c r="Q63" i="1"/>
  <c r="F14" i="1"/>
  <c r="E47" i="1"/>
  <c r="F47" i="1" s="1"/>
  <c r="G47" i="1" s="1"/>
  <c r="K47" i="1" s="1"/>
  <c r="Q47" i="1"/>
  <c r="E45" i="1"/>
  <c r="F45" i="1" s="1"/>
  <c r="G45" i="1" s="1"/>
  <c r="K45" i="1" s="1"/>
  <c r="Q45" i="1"/>
  <c r="E49" i="1"/>
  <c r="F49" i="1" s="1"/>
  <c r="G49" i="1" s="1"/>
  <c r="K49" i="1" s="1"/>
  <c r="Q49" i="1"/>
  <c r="K35" i="1"/>
  <c r="E50" i="1"/>
  <c r="F50" i="1" s="1"/>
  <c r="G50" i="1" s="1"/>
  <c r="K50" i="1" s="1"/>
  <c r="E46" i="1"/>
  <c r="F46" i="1" s="1"/>
  <c r="G46" i="1" s="1"/>
  <c r="K46" i="1" s="1"/>
  <c r="E48" i="1"/>
  <c r="F48" i="1"/>
  <c r="G48" i="1" s="1"/>
  <c r="K48" i="1" s="1"/>
  <c r="D9" i="1"/>
  <c r="C9" i="1"/>
  <c r="Q48" i="1"/>
  <c r="Q46" i="1"/>
  <c r="Q50" i="1"/>
  <c r="E36" i="1"/>
  <c r="F36" i="1" s="1"/>
  <c r="G36" i="1" s="1"/>
  <c r="I36" i="1" s="1"/>
  <c r="E38" i="1"/>
  <c r="F38" i="1" s="1"/>
  <c r="G38" i="1" s="1"/>
  <c r="I38" i="1" s="1"/>
  <c r="E41" i="1"/>
  <c r="F41" i="1" s="1"/>
  <c r="G41" i="1" s="1"/>
  <c r="I41" i="1" s="1"/>
  <c r="E40" i="1"/>
  <c r="F40" i="1" s="1"/>
  <c r="G40" i="1" s="1"/>
  <c r="I40" i="1" s="1"/>
  <c r="E42" i="1"/>
  <c r="F42" i="1" s="1"/>
  <c r="G42" i="1" s="1"/>
  <c r="I42" i="1" s="1"/>
  <c r="E43" i="1"/>
  <c r="F43" i="1" s="1"/>
  <c r="G43" i="1" s="1"/>
  <c r="K43" i="1" s="1"/>
  <c r="E21" i="1"/>
  <c r="F21" i="1" s="1"/>
  <c r="G21" i="1" s="1"/>
  <c r="H21" i="1" s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I26" i="1" s="1"/>
  <c r="E27" i="1"/>
  <c r="F27" i="1" s="1"/>
  <c r="G27" i="1" s="1"/>
  <c r="I27" i="1" s="1"/>
  <c r="E28" i="1"/>
  <c r="F28" i="1" s="1"/>
  <c r="G28" i="1" s="1"/>
  <c r="I28" i="1" s="1"/>
  <c r="E29" i="1"/>
  <c r="F29" i="1" s="1"/>
  <c r="G29" i="1" s="1"/>
  <c r="I29" i="1" s="1"/>
  <c r="E30" i="1"/>
  <c r="F30" i="1" s="1"/>
  <c r="G30" i="1" s="1"/>
  <c r="I30" i="1" s="1"/>
  <c r="E31" i="1"/>
  <c r="F31" i="1" s="1"/>
  <c r="G31" i="1" s="1"/>
  <c r="I31" i="1" s="1"/>
  <c r="E32" i="1"/>
  <c r="F32" i="1" s="1"/>
  <c r="G32" i="1" s="1"/>
  <c r="I32" i="1" s="1"/>
  <c r="E34" i="1"/>
  <c r="F34" i="1" s="1"/>
  <c r="G34" i="1" s="1"/>
  <c r="J34" i="1" s="1"/>
  <c r="E37" i="1"/>
  <c r="F37" i="1" s="1"/>
  <c r="G37" i="1" s="1"/>
  <c r="J37" i="1" s="1"/>
  <c r="E39" i="1"/>
  <c r="F39" i="1" s="1"/>
  <c r="G39" i="1" s="1"/>
  <c r="K39" i="1" s="1"/>
  <c r="E44" i="1"/>
  <c r="E26" i="3" s="1"/>
  <c r="E35" i="1"/>
  <c r="F35" i="1" s="1"/>
  <c r="Q42" i="1"/>
  <c r="Q41" i="1"/>
  <c r="Q40" i="1"/>
  <c r="Q38" i="1"/>
  <c r="Q36" i="1"/>
  <c r="G26" i="3"/>
  <c r="C26" i="3"/>
  <c r="G25" i="3"/>
  <c r="C25" i="3"/>
  <c r="E25" i="3"/>
  <c r="G32" i="3"/>
  <c r="C32" i="3"/>
  <c r="G31" i="3"/>
  <c r="C31" i="3"/>
  <c r="G30" i="3"/>
  <c r="C30" i="3"/>
  <c r="G29" i="3"/>
  <c r="C29" i="3"/>
  <c r="E29" i="3"/>
  <c r="G28" i="3"/>
  <c r="C28" i="3"/>
  <c r="E28" i="3"/>
  <c r="G24" i="3"/>
  <c r="C24" i="3"/>
  <c r="G27" i="3"/>
  <c r="C27" i="3"/>
  <c r="G23" i="3"/>
  <c r="C23" i="3"/>
  <c r="G22" i="3"/>
  <c r="C22" i="3"/>
  <c r="G21" i="3"/>
  <c r="C21" i="3"/>
  <c r="E21" i="3"/>
  <c r="G20" i="3"/>
  <c r="C20" i="3"/>
  <c r="G19" i="3"/>
  <c r="C19" i="3"/>
  <c r="G18" i="3"/>
  <c r="C18" i="3"/>
  <c r="G17" i="3"/>
  <c r="C17" i="3"/>
  <c r="E17" i="3"/>
  <c r="G16" i="3"/>
  <c r="C16" i="3"/>
  <c r="E16" i="3"/>
  <c r="G15" i="3"/>
  <c r="C15" i="3"/>
  <c r="G14" i="3"/>
  <c r="C14" i="3"/>
  <c r="E14" i="3"/>
  <c r="G13" i="3"/>
  <c r="C13" i="3"/>
  <c r="E13" i="3"/>
  <c r="G12" i="3"/>
  <c r="C12" i="3"/>
  <c r="G11" i="3"/>
  <c r="C11" i="3"/>
  <c r="H26" i="3"/>
  <c r="B26" i="3"/>
  <c r="D26" i="3"/>
  <c r="A26" i="3"/>
  <c r="H25" i="3"/>
  <c r="B25" i="3"/>
  <c r="D25" i="3"/>
  <c r="A25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4" i="3"/>
  <c r="B24" i="3"/>
  <c r="D24" i="3"/>
  <c r="A24" i="3"/>
  <c r="H27" i="3"/>
  <c r="B27" i="3"/>
  <c r="D27" i="3"/>
  <c r="A27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Q39" i="1"/>
  <c r="F11" i="2"/>
  <c r="Q43" i="1"/>
  <c r="Q44" i="1"/>
  <c r="G11" i="2"/>
  <c r="C17" i="2"/>
  <c r="E21" i="2"/>
  <c r="F21" i="2" s="1"/>
  <c r="G21" i="2" s="1"/>
  <c r="H21" i="2" s="1"/>
  <c r="Q21" i="2"/>
  <c r="Q35" i="1"/>
  <c r="C17" i="1"/>
  <c r="Q37" i="1"/>
  <c r="S18" i="1"/>
  <c r="Q22" i="1"/>
  <c r="Q23" i="1"/>
  <c r="Q24" i="1"/>
  <c r="Q25" i="1"/>
  <c r="Q26" i="1"/>
  <c r="Q27" i="1"/>
  <c r="Q28" i="1"/>
  <c r="Q29" i="1"/>
  <c r="Q30" i="1"/>
  <c r="Q31" i="1"/>
  <c r="Q32" i="1"/>
  <c r="Q34" i="1"/>
  <c r="Q21" i="1"/>
  <c r="E19" i="3"/>
  <c r="C11" i="2"/>
  <c r="E15" i="3" l="1"/>
  <c r="E24" i="3"/>
  <c r="E30" i="3"/>
  <c r="F15" i="2"/>
  <c r="F15" i="1"/>
  <c r="E11" i="3"/>
  <c r="E22" i="3"/>
  <c r="E32" i="3"/>
  <c r="E20" i="3"/>
  <c r="F44" i="1"/>
  <c r="G44" i="1" s="1"/>
  <c r="E12" i="3"/>
  <c r="E23" i="3"/>
  <c r="E18" i="3"/>
  <c r="E31" i="3"/>
  <c r="E27" i="3"/>
  <c r="C12" i="2"/>
  <c r="C11" i="1"/>
  <c r="C12" i="1"/>
  <c r="O24" i="2" l="1"/>
  <c r="O56" i="2"/>
  <c r="O27" i="2"/>
  <c r="O59" i="2"/>
  <c r="O50" i="2"/>
  <c r="O49" i="2"/>
  <c r="O31" i="2"/>
  <c r="O57" i="2"/>
  <c r="O34" i="2"/>
  <c r="O46" i="2"/>
  <c r="O54" i="2"/>
  <c r="O48" i="2"/>
  <c r="O41" i="2"/>
  <c r="O23" i="2"/>
  <c r="O26" i="2"/>
  <c r="O28" i="2"/>
  <c r="O60" i="2"/>
  <c r="O63" i="2"/>
  <c r="O53" i="2"/>
  <c r="O47" i="2"/>
  <c r="O51" i="2"/>
  <c r="O32" i="2"/>
  <c r="O58" i="2"/>
  <c r="O35" i="2"/>
  <c r="O25" i="2"/>
  <c r="O36" i="2"/>
  <c r="O62" i="2"/>
  <c r="O39" i="2"/>
  <c r="O38" i="2"/>
  <c r="O29" i="2"/>
  <c r="O40" i="2"/>
  <c r="O30" i="2"/>
  <c r="O43" i="2"/>
  <c r="O42" i="2"/>
  <c r="O33" i="2"/>
  <c r="O44" i="2"/>
  <c r="O37" i="2"/>
  <c r="O61" i="2"/>
  <c r="O22" i="2"/>
  <c r="O52" i="2"/>
  <c r="O55" i="2"/>
  <c r="O45" i="2"/>
  <c r="O33" i="1"/>
  <c r="S33" i="1" s="1"/>
  <c r="O55" i="1"/>
  <c r="S55" i="1" s="1"/>
  <c r="O63" i="1"/>
  <c r="S63" i="1" s="1"/>
  <c r="O54" i="1"/>
  <c r="S54" i="1" s="1"/>
  <c r="O62" i="1"/>
  <c r="S62" i="1" s="1"/>
  <c r="O53" i="1"/>
  <c r="S53" i="1" s="1"/>
  <c r="O61" i="1"/>
  <c r="S61" i="1" s="1"/>
  <c r="O52" i="1"/>
  <c r="S52" i="1" s="1"/>
  <c r="O60" i="1"/>
  <c r="S60" i="1" s="1"/>
  <c r="O51" i="1"/>
  <c r="S51" i="1" s="1"/>
  <c r="O59" i="1"/>
  <c r="S59" i="1" s="1"/>
  <c r="O57" i="1"/>
  <c r="S57" i="1" s="1"/>
  <c r="O58" i="1"/>
  <c r="S58" i="1" s="1"/>
  <c r="O56" i="1"/>
  <c r="S56" i="1" s="1"/>
  <c r="O21" i="2"/>
  <c r="C16" i="2"/>
  <c r="D18" i="2" s="1"/>
  <c r="C15" i="2"/>
  <c r="O48" i="1"/>
  <c r="S48" i="1" s="1"/>
  <c r="O21" i="1"/>
  <c r="O38" i="1"/>
  <c r="S38" i="1" s="1"/>
  <c r="O23" i="1"/>
  <c r="S23" i="1" s="1"/>
  <c r="O30" i="1"/>
  <c r="S30" i="1" s="1"/>
  <c r="O44" i="1"/>
  <c r="S44" i="1" s="1"/>
  <c r="O34" i="1"/>
  <c r="S34" i="1" s="1"/>
  <c r="O31" i="1"/>
  <c r="S31" i="1" s="1"/>
  <c r="O28" i="1"/>
  <c r="S28" i="1" s="1"/>
  <c r="O42" i="1"/>
  <c r="S42" i="1" s="1"/>
  <c r="O49" i="1"/>
  <c r="S49" i="1" s="1"/>
  <c r="O22" i="1"/>
  <c r="S22" i="1" s="1"/>
  <c r="O27" i="1"/>
  <c r="S27" i="1" s="1"/>
  <c r="C15" i="1"/>
  <c r="O43" i="1"/>
  <c r="S43" i="1" s="1"/>
  <c r="O36" i="1"/>
  <c r="S36" i="1" s="1"/>
  <c r="O35" i="1"/>
  <c r="S35" i="1" s="1"/>
  <c r="O37" i="1"/>
  <c r="S37" i="1" s="1"/>
  <c r="O32" i="1"/>
  <c r="S32" i="1" s="1"/>
  <c r="O47" i="1"/>
  <c r="S47" i="1" s="1"/>
  <c r="O46" i="1"/>
  <c r="S46" i="1" s="1"/>
  <c r="O40" i="1"/>
  <c r="S40" i="1" s="1"/>
  <c r="O50" i="1"/>
  <c r="S50" i="1" s="1"/>
  <c r="O39" i="1"/>
  <c r="S39" i="1" s="1"/>
  <c r="O24" i="1"/>
  <c r="S24" i="1" s="1"/>
  <c r="O29" i="1"/>
  <c r="S29" i="1" s="1"/>
  <c r="O45" i="1"/>
  <c r="S45" i="1" s="1"/>
  <c r="O26" i="1"/>
  <c r="S26" i="1" s="1"/>
  <c r="O41" i="1"/>
  <c r="S41" i="1" s="1"/>
  <c r="O25" i="1"/>
  <c r="S25" i="1" s="1"/>
  <c r="C16" i="1"/>
  <c r="D18" i="1" s="1"/>
  <c r="K44" i="1"/>
  <c r="C18" i="2" l="1"/>
  <c r="F16" i="2"/>
  <c r="F17" i="2" s="1"/>
  <c r="R19" i="2"/>
  <c r="F16" i="1"/>
  <c r="F18" i="1" s="1"/>
  <c r="S19" i="1"/>
  <c r="C18" i="1"/>
  <c r="F18" i="2" l="1"/>
  <c r="F17" i="1"/>
</calcChain>
</file>

<file path=xl/sharedStrings.xml><?xml version="1.0" encoding="utf-8"?>
<sst xmlns="http://schemas.openxmlformats.org/spreadsheetml/2006/main" count="445" uniqueCount="180">
  <si>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</si>
  <si>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</si>
  <si>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</si>
  <si>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</si>
  <si>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</si>
  <si>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</si>
  <si>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</si>
  <si>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</si>
  <si>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</si>
  <si>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</si>
  <si>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</si>
  <si>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</si>
  <si>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</si>
  <si>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</si>
  <si>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</si>
  <si>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</si>
  <si>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</si>
  <si>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</si>
  <si>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</si>
  <si>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</si>
  <si>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</si>
  <si>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</si>
  <si>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</si>
  <si>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</si>
  <si>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</si>
  <si>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</si>
  <si>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</si>
  <si>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</si>
  <si>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not avail.</t>
  </si>
  <si>
    <t># of data points:</t>
  </si>
  <si>
    <t>ASAS</t>
  </si>
  <si>
    <t>IBVS 5731</t>
  </si>
  <si>
    <t>EW</t>
  </si>
  <si>
    <t>V1193 Cyg / GSC 03949-00797</t>
  </si>
  <si>
    <t>IBVS 4750</t>
  </si>
  <si>
    <t>Cycle jump is dodgy.</t>
  </si>
  <si>
    <t>My time zone &gt;&gt;&gt;&gt;&gt;</t>
  </si>
  <si>
    <t>(PST=8, PDT=MDT=7, MDT=CST=6, etc.)</t>
  </si>
  <si>
    <t>JD today</t>
  </si>
  <si>
    <t>New Cycle</t>
  </si>
  <si>
    <t>IBVS 5802</t>
  </si>
  <si>
    <t>Start of linear fit &gt;&gt;&gt;&gt;&gt;&gt;&gt;&gt;&gt;&gt;&gt;&gt;&gt;&gt;&gt;&gt;&gt;&gt;&gt;&gt;&gt;</t>
  </si>
  <si>
    <t>OEJV 0074</t>
  </si>
  <si>
    <t>II</t>
  </si>
  <si>
    <t>Add cycle</t>
  </si>
  <si>
    <t>Old Cycle</t>
  </si>
  <si>
    <t>OEJV 0137</t>
  </si>
  <si>
    <t>I</t>
  </si>
  <si>
    <t>OEJV 0160</t>
  </si>
  <si>
    <t>IBVS 6084</t>
  </si>
  <si>
    <t>BAD?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</si>
  <si>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</si>
  <si>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</si>
  <si>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</si>
  <si>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</si>
  <si>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</si>
  <si>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</si>
  <si>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</si>
  <si>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</si>
  <si>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</si>
  <si>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</si>
  <si>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</si>
  <si>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2437668.228 </t>
  </si>
  <si>
    <t> 03.01.1962 17:28 </t>
  </si>
  <si>
    <t> 0.000 </t>
  </si>
  <si>
    <t>P </t>
  </si>
  <si>
    <t> H.Gessner </t>
  </si>
  <si>
    <t> VSS 7.65 </t>
  </si>
  <si>
    <t>2437669.224 </t>
  </si>
  <si>
    <t> 04.01.1962 17:22 </t>
  </si>
  <si>
    <t> -0.015 </t>
  </si>
  <si>
    <t>2437898.455 </t>
  </si>
  <si>
    <t> 21.08.1962 22:55 </t>
  </si>
  <si>
    <t> 0.056 </t>
  </si>
  <si>
    <t>2437906.516 </t>
  </si>
  <si>
    <t> 30.08.1962 00:23 </t>
  </si>
  <si>
    <t> 0.029 </t>
  </si>
  <si>
    <t>2437917.585 </t>
  </si>
  <si>
    <t> 10.09.1962 02:02 </t>
  </si>
  <si>
    <t> -0.023 </t>
  </si>
  <si>
    <t>2437944.557 </t>
  </si>
  <si>
    <t> 07.10.1962 01:22 </t>
  </si>
  <si>
    <t> -0.011 </t>
  </si>
  <si>
    <t>2437964.441 </t>
  </si>
  <si>
    <t> 26.10.1962 22:35 </t>
  </si>
  <si>
    <t> -0.010 </t>
  </si>
  <si>
    <t>2438348.316 </t>
  </si>
  <si>
    <t> 14.11.1963 19:35 </t>
  </si>
  <si>
    <t> 0.022 </t>
  </si>
  <si>
    <t>2451052.3768 </t>
  </si>
  <si>
    <t> 26.08.1998 21:02 </t>
  </si>
  <si>
    <t> 0.5308 </t>
  </si>
  <si>
    <t>E </t>
  </si>
  <si>
    <t>?</t>
  </si>
  <si>
    <t> Diethelm &amp; Wolf </t>
  </si>
  <si>
    <t>IBVS 4750 </t>
  </si>
  <si>
    <t>2451107.2871 </t>
  </si>
  <si>
    <t> 20.10.1998 18:53 </t>
  </si>
  <si>
    <t> 0.5101 </t>
  </si>
  <si>
    <t> R.Diethelm </t>
  </si>
  <si>
    <t> BBS 119 </t>
  </si>
  <si>
    <t>2451361.4369 </t>
  </si>
  <si>
    <t> 01.07.1999 22:29 </t>
  </si>
  <si>
    <t> 0.5619 </t>
  </si>
  <si>
    <t> BBS 120 </t>
  </si>
  <si>
    <t>2453639.4604 </t>
  </si>
  <si>
    <t> 25.09.2005 23:02 </t>
  </si>
  <si>
    <t> 0.8024 </t>
  </si>
  <si>
    <t>C </t>
  </si>
  <si>
    <t>-I</t>
  </si>
  <si>
    <t> Agerer </t>
  </si>
  <si>
    <t>BAVM 178 </t>
  </si>
  <si>
    <t>2454024.33767 </t>
  </si>
  <si>
    <t> 15.10.2006 20:06 </t>
  </si>
  <si>
    <t>24266</t>
  </si>
  <si>
    <t> 0.82567 </t>
  </si>
  <si>
    <t>R</t>
  </si>
  <si>
    <t> L.Brát </t>
  </si>
  <si>
    <t>OEJV 0074 </t>
  </si>
  <si>
    <t>2454035.41966 </t>
  </si>
  <si>
    <t> 26.10.2006 22:04 </t>
  </si>
  <si>
    <t>24282.5</t>
  </si>
  <si>
    <t> 0.78666 </t>
  </si>
  <si>
    <t> P.Zasche </t>
  </si>
  <si>
    <t>IBVS 6007 </t>
  </si>
  <si>
    <t>2454221.5631 </t>
  </si>
  <si>
    <t> 01.05.2007 01:30 </t>
  </si>
  <si>
    <t>24558.5</t>
  </si>
  <si>
    <t> 0.9061 </t>
  </si>
  <si>
    <t> F.Agerer </t>
  </si>
  <si>
    <t>BAVM 186 </t>
  </si>
  <si>
    <t>2455045.4725 </t>
  </si>
  <si>
    <t> 01.08.2009 23:20 </t>
  </si>
  <si>
    <t>25781</t>
  </si>
  <si>
    <t> 0.8505 </t>
  </si>
  <si>
    <t>BAVM 212 </t>
  </si>
  <si>
    <t>2455082.4974 </t>
  </si>
  <si>
    <t> 07.09.2009 23:56 </t>
  </si>
  <si>
    <t>25836</t>
  </si>
  <si>
    <t> 0.8054 </t>
  </si>
  <si>
    <t> J.Trnka </t>
  </si>
  <si>
    <t>OEJV 0137 </t>
  </si>
  <si>
    <t>2455264.6100 </t>
  </si>
  <si>
    <t> 09.03.2010 02:38 </t>
  </si>
  <si>
    <t>26106</t>
  </si>
  <si>
    <t> 0.9380 </t>
  </si>
  <si>
    <t>o</t>
  </si>
  <si>
    <t> W.Moschner &amp; P.Frank </t>
  </si>
  <si>
    <t>BAVM 214 </t>
  </si>
  <si>
    <t>2455393.5768 </t>
  </si>
  <si>
    <t> 16.07.2010 01:50 </t>
  </si>
  <si>
    <t>26297.5</t>
  </si>
  <si>
    <t> 0.8338 </t>
  </si>
  <si>
    <t> U.Schmidt </t>
  </si>
  <si>
    <t>2455691.5553 </t>
  </si>
  <si>
    <t> 10.05.2011 01:19 </t>
  </si>
  <si>
    <t>26739.5</t>
  </si>
  <si>
    <t> 0.9043 </t>
  </si>
  <si>
    <t>BAVM 220 </t>
  </si>
  <si>
    <t>2455819.5107 </t>
  </si>
  <si>
    <t> 15.09.2011 00:15 </t>
  </si>
  <si>
    <t>26929.5</t>
  </si>
  <si>
    <t> 0.7997 </t>
  </si>
  <si>
    <t>OEJV 0160 </t>
  </si>
  <si>
    <t>2456489.5239 </t>
  </si>
  <si>
    <t> 16.07.2013 00:34 </t>
  </si>
  <si>
    <t>27923.5</t>
  </si>
  <si>
    <t> 0.8569 </t>
  </si>
  <si>
    <t>BAVM 232 </t>
  </si>
  <si>
    <t>IBVS 6007</t>
  </si>
  <si>
    <t>OEJV 0179</t>
  </si>
  <si>
    <t>JAVSO..43..238</t>
  </si>
  <si>
    <t>IBVS 6230</t>
  </si>
  <si>
    <t>Next ToM-P</t>
  </si>
  <si>
    <t>Next ToM-S</t>
  </si>
  <si>
    <t>13.80-14.30</t>
  </si>
  <si>
    <t xml:space="preserve">Mag p </t>
  </si>
  <si>
    <t>BAV 91 Feb 2024</t>
  </si>
  <si>
    <t>VSX</t>
  </si>
  <si>
    <t>Preferred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</si>
</sst>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11" fillId="24" borderId="0" xfId="0" applyFont="1" applyFill="1" applyAlignme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0" fillId="0" borderId="0" xfId="0" applyAlignment="1">
      <alignment horizontal="center" wrapText="1"/>
    </xf>
    <xf numFmtId="0" fontId="9" fillId="24" borderId="0" xfId="0" applyFont="1" applyFill="1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8" fillId="25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3" applyFont="1"/>
    <xf numFmtId="0" fontId="36" fillId="0" borderId="0" xfId="43" applyFont="1" applyAlignment="1">
      <alignment horizontal="center"/>
    </xf>
    <xf numFmtId="0" fontId="36" fillId="0" borderId="0" xfId="43" applyFont="1" applyAlignment="1">
      <alignment horizontal="left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/>
    </xf>
    <xf numFmtId="0" fontId="37" fillId="0" borderId="0" xfId="42" applyFont="1" applyAlignment="1">
      <alignment horizontal="left" vertical="center" wrapText="1"/>
    </xf>
    <xf numFmtId="0" fontId="37" fillId="0" borderId="0" xfId="42" applyFont="1" applyAlignment="1">
      <alignment horizontal="center" vertical="center" wrapText="1"/>
    </xf>
    <xf numFmtId="0" fontId="37" fillId="0" borderId="0" xfId="42" applyFont="1" applyAlignment="1">
      <alignment horizontal="left" wrapText="1"/>
    </xf>
    <xf numFmtId="0" fontId="38" fillId="0" borderId="20" xfId="0" applyFont="1" applyBorder="1" applyAlignment="1">
      <alignment horizontal="right" vertical="center"/>
    </xf>
    <xf numFmtId="0" fontId="38" fillId="0" borderId="23" xfId="0" applyFont="1" applyBorder="1" applyAlignment="1">
      <alignment horizontal="right" vertical="center"/>
    </xf>
    <xf numFmtId="0" fontId="6" fillId="26" borderId="18" xfId="0" applyFont="1" applyFill="1" applyBorder="1" applyAlignment="1">
      <alignment horizontal="right" vertical="center"/>
    </xf>
    <xf numFmtId="0" fontId="6" fillId="26" borderId="19" xfId="0" applyFont="1" applyFill="1" applyBorder="1" applyAlignment="1">
      <alignment horizontal="center" vertical="center"/>
    </xf>
    <xf numFmtId="0" fontId="37" fillId="0" borderId="21" xfId="0" applyFont="1" applyBorder="1" applyAlignment="1">
      <alignment horizontal="right" vertical="center"/>
    </xf>
    <xf numFmtId="0" fontId="39" fillId="0" borderId="21" xfId="0" applyFont="1" applyBorder="1" applyAlignment="1">
      <alignment horizontal="right" vertical="center"/>
    </xf>
    <xf numFmtId="22" fontId="39" fillId="0" borderId="21" xfId="0" applyNumberFormat="1" applyFont="1" applyBorder="1" applyAlignment="1">
      <alignment horizontal="right" vertical="center"/>
    </xf>
    <xf numFmtId="22" fontId="39" fillId="0" borderId="22" xfId="0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6" fillId="0" borderId="0" xfId="0" applyFont="1" applyAlignment="1"/>
    <xf numFmtId="22" fontId="38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41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V1193 Cyg - O-C Diagr.</a:t>
            </a:r>
          </a:p>
        </c:rich>
      </c:tx>
      <c:layout>
        <c:manualLayout>
          <c:xMode val="edge"/>
          <c:yMode val="edge"/>
          <c:x val="0.3564516129032258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60681114551083"/>
          <c:w val="0.80645161290322576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-29442</c:v>
                </c:pt>
                <c:pt idx="1">
                  <c:v>-29442</c:v>
                </c:pt>
                <c:pt idx="2">
                  <c:v>-29440</c:v>
                </c:pt>
                <c:pt idx="3">
                  <c:v>-28985</c:v>
                </c:pt>
                <c:pt idx="4">
                  <c:v>-28969</c:v>
                </c:pt>
                <c:pt idx="5">
                  <c:v>-28947</c:v>
                </c:pt>
                <c:pt idx="6">
                  <c:v>-28893.5</c:v>
                </c:pt>
                <c:pt idx="7">
                  <c:v>-28854</c:v>
                </c:pt>
                <c:pt idx="8">
                  <c:v>-28092</c:v>
                </c:pt>
                <c:pt idx="9">
                  <c:v>-2874</c:v>
                </c:pt>
                <c:pt idx="10">
                  <c:v>-2765</c:v>
                </c:pt>
                <c:pt idx="11">
                  <c:v>-2260.5</c:v>
                </c:pt>
                <c:pt idx="12">
                  <c:v>0</c:v>
                </c:pt>
                <c:pt idx="13">
                  <c:v>2261.5</c:v>
                </c:pt>
                <c:pt idx="14">
                  <c:v>3025.5</c:v>
                </c:pt>
                <c:pt idx="15">
                  <c:v>3047.5</c:v>
                </c:pt>
                <c:pt idx="16">
                  <c:v>3417</c:v>
                </c:pt>
                <c:pt idx="17">
                  <c:v>5052.5</c:v>
                </c:pt>
                <c:pt idx="18">
                  <c:v>5126</c:v>
                </c:pt>
                <c:pt idx="19">
                  <c:v>5487.5</c:v>
                </c:pt>
                <c:pt idx="20">
                  <c:v>5743.5</c:v>
                </c:pt>
                <c:pt idx="21">
                  <c:v>6335</c:v>
                </c:pt>
                <c:pt idx="22">
                  <c:v>6589</c:v>
                </c:pt>
                <c:pt idx="23">
                  <c:v>7919</c:v>
                </c:pt>
                <c:pt idx="24">
                  <c:v>7960.5</c:v>
                </c:pt>
                <c:pt idx="25">
                  <c:v>9187.5</c:v>
                </c:pt>
                <c:pt idx="26">
                  <c:v>9314</c:v>
                </c:pt>
                <c:pt idx="27">
                  <c:v>10072.5</c:v>
                </c:pt>
                <c:pt idx="28">
                  <c:v>10072.5</c:v>
                </c:pt>
                <c:pt idx="29">
                  <c:v>10100.5</c:v>
                </c:pt>
                <c:pt idx="30">
                  <c:v>12193</c:v>
                </c:pt>
                <c:pt idx="31">
                  <c:v>12288</c:v>
                </c:pt>
                <c:pt idx="32">
                  <c:v>12326</c:v>
                </c:pt>
                <c:pt idx="33">
                  <c:v>12357.5</c:v>
                </c:pt>
                <c:pt idx="34">
                  <c:v>12407</c:v>
                </c:pt>
                <c:pt idx="35">
                  <c:v>13028.5</c:v>
                </c:pt>
                <c:pt idx="36">
                  <c:v>13111.5</c:v>
                </c:pt>
                <c:pt idx="37">
                  <c:v>13747</c:v>
                </c:pt>
                <c:pt idx="38">
                  <c:v>14475.5</c:v>
                </c:pt>
                <c:pt idx="39">
                  <c:v>15174.5</c:v>
                </c:pt>
                <c:pt idx="40">
                  <c:v>15232</c:v>
                </c:pt>
                <c:pt idx="41">
                  <c:v>15255.5</c:v>
                </c:pt>
                <c:pt idx="42">
                  <c:v>15420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-0.10401037999690743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79-4129-90AE-D7775AB8C15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-29442</c:v>
                </c:pt>
                <c:pt idx="1">
                  <c:v>-29442</c:v>
                </c:pt>
                <c:pt idx="2">
                  <c:v>-29440</c:v>
                </c:pt>
                <c:pt idx="3">
                  <c:v>-28985</c:v>
                </c:pt>
                <c:pt idx="4">
                  <c:v>-28969</c:v>
                </c:pt>
                <c:pt idx="5">
                  <c:v>-28947</c:v>
                </c:pt>
                <c:pt idx="6">
                  <c:v>-28893.5</c:v>
                </c:pt>
                <c:pt idx="7">
                  <c:v>-28854</c:v>
                </c:pt>
                <c:pt idx="8">
                  <c:v>-28092</c:v>
                </c:pt>
                <c:pt idx="9">
                  <c:v>-2874</c:v>
                </c:pt>
                <c:pt idx="10">
                  <c:v>-2765</c:v>
                </c:pt>
                <c:pt idx="11">
                  <c:v>-2260.5</c:v>
                </c:pt>
                <c:pt idx="12">
                  <c:v>0</c:v>
                </c:pt>
                <c:pt idx="13">
                  <c:v>2261.5</c:v>
                </c:pt>
                <c:pt idx="14">
                  <c:v>3025.5</c:v>
                </c:pt>
                <c:pt idx="15">
                  <c:v>3047.5</c:v>
                </c:pt>
                <c:pt idx="16">
                  <c:v>3417</c:v>
                </c:pt>
                <c:pt idx="17">
                  <c:v>5052.5</c:v>
                </c:pt>
                <c:pt idx="18">
                  <c:v>5126</c:v>
                </c:pt>
                <c:pt idx="19">
                  <c:v>5487.5</c:v>
                </c:pt>
                <c:pt idx="20">
                  <c:v>5743.5</c:v>
                </c:pt>
                <c:pt idx="21">
                  <c:v>6335</c:v>
                </c:pt>
                <c:pt idx="22">
                  <c:v>6589</c:v>
                </c:pt>
                <c:pt idx="23">
                  <c:v>7919</c:v>
                </c:pt>
                <c:pt idx="24">
                  <c:v>7960.5</c:v>
                </c:pt>
                <c:pt idx="25">
                  <c:v>9187.5</c:v>
                </c:pt>
                <c:pt idx="26">
                  <c:v>9314</c:v>
                </c:pt>
                <c:pt idx="27">
                  <c:v>10072.5</c:v>
                </c:pt>
                <c:pt idx="28">
                  <c:v>10072.5</c:v>
                </c:pt>
                <c:pt idx="29">
                  <c:v>10100.5</c:v>
                </c:pt>
                <c:pt idx="30">
                  <c:v>12193</c:v>
                </c:pt>
                <c:pt idx="31">
                  <c:v>12288</c:v>
                </c:pt>
                <c:pt idx="32">
                  <c:v>12326</c:v>
                </c:pt>
                <c:pt idx="33">
                  <c:v>12357.5</c:v>
                </c:pt>
                <c:pt idx="34">
                  <c:v>12407</c:v>
                </c:pt>
                <c:pt idx="35">
                  <c:v>13028.5</c:v>
                </c:pt>
                <c:pt idx="36">
                  <c:v>13111.5</c:v>
                </c:pt>
                <c:pt idx="37">
                  <c:v>13747</c:v>
                </c:pt>
                <c:pt idx="38">
                  <c:v>14475.5</c:v>
                </c:pt>
                <c:pt idx="39">
                  <c:v>15174.5</c:v>
                </c:pt>
                <c:pt idx="40">
                  <c:v>15232</c:v>
                </c:pt>
                <c:pt idx="41">
                  <c:v>15255.5</c:v>
                </c:pt>
                <c:pt idx="42">
                  <c:v>15420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-0.10401037999690743</c:v>
                </c:pt>
                <c:pt idx="2">
                  <c:v>-0.11554159999650437</c:v>
                </c:pt>
                <c:pt idx="3">
                  <c:v>-9.7894149992498569E-2</c:v>
                </c:pt>
                <c:pt idx="4">
                  <c:v>-9.7143909995793365E-2</c:v>
                </c:pt>
                <c:pt idx="5">
                  <c:v>-0.11098733000108041</c:v>
                </c:pt>
                <c:pt idx="6">
                  <c:v>-9.0447465001489036E-2</c:v>
                </c:pt>
                <c:pt idx="7">
                  <c:v>-0.10518905999924755</c:v>
                </c:pt>
                <c:pt idx="8">
                  <c:v>-9.9583880000864156E-2</c:v>
                </c:pt>
                <c:pt idx="9">
                  <c:v>6.3140003476291895E-5</c:v>
                </c:pt>
                <c:pt idx="10">
                  <c:v>-8.8349996076431125E-5</c:v>
                </c:pt>
                <c:pt idx="11">
                  <c:v>-3.8594997022300959E-5</c:v>
                </c:pt>
                <c:pt idx="15">
                  <c:v>-5.1364749961066991E-3</c:v>
                </c:pt>
                <c:pt idx="17">
                  <c:v>-2.3445249971700832E-3</c:v>
                </c:pt>
                <c:pt idx="19">
                  <c:v>-2.8848749934695661E-3</c:v>
                </c:pt>
                <c:pt idx="20">
                  <c:v>-8.1034995673689991E-5</c:v>
                </c:pt>
                <c:pt idx="21">
                  <c:v>1.0606499999994412E-3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79-4129-90AE-D7775AB8C15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-29442</c:v>
                </c:pt>
                <c:pt idx="1">
                  <c:v>-29442</c:v>
                </c:pt>
                <c:pt idx="2">
                  <c:v>-29440</c:v>
                </c:pt>
                <c:pt idx="3">
                  <c:v>-28985</c:v>
                </c:pt>
                <c:pt idx="4">
                  <c:v>-28969</c:v>
                </c:pt>
                <c:pt idx="5">
                  <c:v>-28947</c:v>
                </c:pt>
                <c:pt idx="6">
                  <c:v>-28893.5</c:v>
                </c:pt>
                <c:pt idx="7">
                  <c:v>-28854</c:v>
                </c:pt>
                <c:pt idx="8">
                  <c:v>-28092</c:v>
                </c:pt>
                <c:pt idx="9">
                  <c:v>-2874</c:v>
                </c:pt>
                <c:pt idx="10">
                  <c:v>-2765</c:v>
                </c:pt>
                <c:pt idx="11">
                  <c:v>-2260.5</c:v>
                </c:pt>
                <c:pt idx="12">
                  <c:v>0</c:v>
                </c:pt>
                <c:pt idx="13">
                  <c:v>2261.5</c:v>
                </c:pt>
                <c:pt idx="14">
                  <c:v>3025.5</c:v>
                </c:pt>
                <c:pt idx="15">
                  <c:v>3047.5</c:v>
                </c:pt>
                <c:pt idx="16">
                  <c:v>3417</c:v>
                </c:pt>
                <c:pt idx="17">
                  <c:v>5052.5</c:v>
                </c:pt>
                <c:pt idx="18">
                  <c:v>5126</c:v>
                </c:pt>
                <c:pt idx="19">
                  <c:v>5487.5</c:v>
                </c:pt>
                <c:pt idx="20">
                  <c:v>5743.5</c:v>
                </c:pt>
                <c:pt idx="21">
                  <c:v>6335</c:v>
                </c:pt>
                <c:pt idx="22">
                  <c:v>6589</c:v>
                </c:pt>
                <c:pt idx="23">
                  <c:v>7919</c:v>
                </c:pt>
                <c:pt idx="24">
                  <c:v>7960.5</c:v>
                </c:pt>
                <c:pt idx="25">
                  <c:v>9187.5</c:v>
                </c:pt>
                <c:pt idx="26">
                  <c:v>9314</c:v>
                </c:pt>
                <c:pt idx="27">
                  <c:v>10072.5</c:v>
                </c:pt>
                <c:pt idx="28">
                  <c:v>10072.5</c:v>
                </c:pt>
                <c:pt idx="29">
                  <c:v>10100.5</c:v>
                </c:pt>
                <c:pt idx="30">
                  <c:v>12193</c:v>
                </c:pt>
                <c:pt idx="31">
                  <c:v>12288</c:v>
                </c:pt>
                <c:pt idx="32">
                  <c:v>12326</c:v>
                </c:pt>
                <c:pt idx="33">
                  <c:v>12357.5</c:v>
                </c:pt>
                <c:pt idx="34">
                  <c:v>12407</c:v>
                </c:pt>
                <c:pt idx="35">
                  <c:v>13028.5</c:v>
                </c:pt>
                <c:pt idx="36">
                  <c:v>13111.5</c:v>
                </c:pt>
                <c:pt idx="37">
                  <c:v>13747</c:v>
                </c:pt>
                <c:pt idx="38">
                  <c:v>14475.5</c:v>
                </c:pt>
                <c:pt idx="39">
                  <c:v>15174.5</c:v>
                </c:pt>
                <c:pt idx="40">
                  <c:v>15232</c:v>
                </c:pt>
                <c:pt idx="41">
                  <c:v>15255.5</c:v>
                </c:pt>
                <c:pt idx="42">
                  <c:v>15420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3">
                  <c:v>-4.6270149978226982E-3</c:v>
                </c:pt>
                <c:pt idx="16">
                  <c:v>-3.0893699949956499E-3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79-4129-90AE-D7775AB8C15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-29442</c:v>
                </c:pt>
                <c:pt idx="1">
                  <c:v>-29442</c:v>
                </c:pt>
                <c:pt idx="2">
                  <c:v>-29440</c:v>
                </c:pt>
                <c:pt idx="3">
                  <c:v>-28985</c:v>
                </c:pt>
                <c:pt idx="4">
                  <c:v>-28969</c:v>
                </c:pt>
                <c:pt idx="5">
                  <c:v>-28947</c:v>
                </c:pt>
                <c:pt idx="6">
                  <c:v>-28893.5</c:v>
                </c:pt>
                <c:pt idx="7">
                  <c:v>-28854</c:v>
                </c:pt>
                <c:pt idx="8">
                  <c:v>-28092</c:v>
                </c:pt>
                <c:pt idx="9">
                  <c:v>-2874</c:v>
                </c:pt>
                <c:pt idx="10">
                  <c:v>-2765</c:v>
                </c:pt>
                <c:pt idx="11">
                  <c:v>-2260.5</c:v>
                </c:pt>
                <c:pt idx="12">
                  <c:v>0</c:v>
                </c:pt>
                <c:pt idx="13">
                  <c:v>2261.5</c:v>
                </c:pt>
                <c:pt idx="14">
                  <c:v>3025.5</c:v>
                </c:pt>
                <c:pt idx="15">
                  <c:v>3047.5</c:v>
                </c:pt>
                <c:pt idx="16">
                  <c:v>3417</c:v>
                </c:pt>
                <c:pt idx="17">
                  <c:v>5052.5</c:v>
                </c:pt>
                <c:pt idx="18">
                  <c:v>5126</c:v>
                </c:pt>
                <c:pt idx="19">
                  <c:v>5487.5</c:v>
                </c:pt>
                <c:pt idx="20">
                  <c:v>5743.5</c:v>
                </c:pt>
                <c:pt idx="21">
                  <c:v>6335</c:v>
                </c:pt>
                <c:pt idx="22">
                  <c:v>6589</c:v>
                </c:pt>
                <c:pt idx="23">
                  <c:v>7919</c:v>
                </c:pt>
                <c:pt idx="24">
                  <c:v>7960.5</c:v>
                </c:pt>
                <c:pt idx="25">
                  <c:v>9187.5</c:v>
                </c:pt>
                <c:pt idx="26">
                  <c:v>9314</c:v>
                </c:pt>
                <c:pt idx="27">
                  <c:v>10072.5</c:v>
                </c:pt>
                <c:pt idx="28">
                  <c:v>10072.5</c:v>
                </c:pt>
                <c:pt idx="29">
                  <c:v>10100.5</c:v>
                </c:pt>
                <c:pt idx="30">
                  <c:v>12193</c:v>
                </c:pt>
                <c:pt idx="31">
                  <c:v>12288</c:v>
                </c:pt>
                <c:pt idx="32">
                  <c:v>12326</c:v>
                </c:pt>
                <c:pt idx="33">
                  <c:v>12357.5</c:v>
                </c:pt>
                <c:pt idx="34">
                  <c:v>12407</c:v>
                </c:pt>
                <c:pt idx="35">
                  <c:v>13028.5</c:v>
                </c:pt>
                <c:pt idx="36">
                  <c:v>13111.5</c:v>
                </c:pt>
                <c:pt idx="37">
                  <c:v>13747</c:v>
                </c:pt>
                <c:pt idx="38">
                  <c:v>14475.5</c:v>
                </c:pt>
                <c:pt idx="39">
                  <c:v>15174.5</c:v>
                </c:pt>
                <c:pt idx="40">
                  <c:v>15232</c:v>
                </c:pt>
                <c:pt idx="41">
                  <c:v>15255.5</c:v>
                </c:pt>
                <c:pt idx="42">
                  <c:v>15420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2">
                  <c:v>0</c:v>
                </c:pt>
                <c:pt idx="14">
                  <c:v>-4.2830549937207252E-3</c:v>
                </c:pt>
                <c:pt idx="18">
                  <c:v>-4.1668599951663055E-3</c:v>
                </c:pt>
                <c:pt idx="22">
                  <c:v>-4.2899991967715323E-6</c:v>
                </c:pt>
                <c:pt idx="23">
                  <c:v>4.9344100043526851E-3</c:v>
                </c:pt>
                <c:pt idx="24">
                  <c:v>4.5615950002684258E-3</c:v>
                </c:pt>
                <c:pt idx="25">
                  <c:v>9.468125004786998E-3</c:v>
                </c:pt>
                <c:pt idx="26">
                  <c:v>9.2084600037196651E-3</c:v>
                </c:pt>
                <c:pt idx="27">
                  <c:v>1.4393274999747518E-2</c:v>
                </c:pt>
                <c:pt idx="28">
                  <c:v>1.5333274997828994E-2</c:v>
                </c:pt>
                <c:pt idx="29">
                  <c:v>1.3356195006053895E-2</c:v>
                </c:pt>
                <c:pt idx="30">
                  <c:v>2.6317269999708515E-2</c:v>
                </c:pt>
                <c:pt idx="31">
                  <c:v>2.8584320003574248E-2</c:v>
                </c:pt>
                <c:pt idx="32">
                  <c:v>2.6391139996121638E-2</c:v>
                </c:pt>
                <c:pt idx="33">
                  <c:v>2.3274425002455246E-2</c:v>
                </c:pt>
                <c:pt idx="34">
                  <c:v>2.5476729999354575E-2</c:v>
                </c:pt>
                <c:pt idx="35">
                  <c:v>2.7150115005497355E-2</c:v>
                </c:pt>
                <c:pt idx="36">
                  <c:v>2.8504485002486035E-2</c:v>
                </c:pt>
                <c:pt idx="37">
                  <c:v>3.1859330003499053E-2</c:v>
                </c:pt>
                <c:pt idx="38">
                  <c:v>3.6812445003306493E-2</c:v>
                </c:pt>
                <c:pt idx="39">
                  <c:v>4.0751054999418557E-2</c:v>
                </c:pt>
                <c:pt idx="40">
                  <c:v>4.2728480002551805E-2</c:v>
                </c:pt>
                <c:pt idx="41">
                  <c:v>4.143664500588784E-2</c:v>
                </c:pt>
                <c:pt idx="42">
                  <c:v>4.1193799996108282E-2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79-4129-90AE-D7775AB8C15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-29442</c:v>
                </c:pt>
                <c:pt idx="1">
                  <c:v>-29442</c:v>
                </c:pt>
                <c:pt idx="2">
                  <c:v>-29440</c:v>
                </c:pt>
                <c:pt idx="3">
                  <c:v>-28985</c:v>
                </c:pt>
                <c:pt idx="4">
                  <c:v>-28969</c:v>
                </c:pt>
                <c:pt idx="5">
                  <c:v>-28947</c:v>
                </c:pt>
                <c:pt idx="6">
                  <c:v>-28893.5</c:v>
                </c:pt>
                <c:pt idx="7">
                  <c:v>-28854</c:v>
                </c:pt>
                <c:pt idx="8">
                  <c:v>-28092</c:v>
                </c:pt>
                <c:pt idx="9">
                  <c:v>-2874</c:v>
                </c:pt>
                <c:pt idx="10">
                  <c:v>-2765</c:v>
                </c:pt>
                <c:pt idx="11">
                  <c:v>-2260.5</c:v>
                </c:pt>
                <c:pt idx="12">
                  <c:v>0</c:v>
                </c:pt>
                <c:pt idx="13">
                  <c:v>2261.5</c:v>
                </c:pt>
                <c:pt idx="14">
                  <c:v>3025.5</c:v>
                </c:pt>
                <c:pt idx="15">
                  <c:v>3047.5</c:v>
                </c:pt>
                <c:pt idx="16">
                  <c:v>3417</c:v>
                </c:pt>
                <c:pt idx="17">
                  <c:v>5052.5</c:v>
                </c:pt>
                <c:pt idx="18">
                  <c:v>5126</c:v>
                </c:pt>
                <c:pt idx="19">
                  <c:v>5487.5</c:v>
                </c:pt>
                <c:pt idx="20">
                  <c:v>5743.5</c:v>
                </c:pt>
                <c:pt idx="21">
                  <c:v>6335</c:v>
                </c:pt>
                <c:pt idx="22">
                  <c:v>6589</c:v>
                </c:pt>
                <c:pt idx="23">
                  <c:v>7919</c:v>
                </c:pt>
                <c:pt idx="24">
                  <c:v>7960.5</c:v>
                </c:pt>
                <c:pt idx="25">
                  <c:v>9187.5</c:v>
                </c:pt>
                <c:pt idx="26">
                  <c:v>9314</c:v>
                </c:pt>
                <c:pt idx="27">
                  <c:v>10072.5</c:v>
                </c:pt>
                <c:pt idx="28">
                  <c:v>10072.5</c:v>
                </c:pt>
                <c:pt idx="29">
                  <c:v>10100.5</c:v>
                </c:pt>
                <c:pt idx="30">
                  <c:v>12193</c:v>
                </c:pt>
                <c:pt idx="31">
                  <c:v>12288</c:v>
                </c:pt>
                <c:pt idx="32">
                  <c:v>12326</c:v>
                </c:pt>
                <c:pt idx="33">
                  <c:v>12357.5</c:v>
                </c:pt>
                <c:pt idx="34">
                  <c:v>12407</c:v>
                </c:pt>
                <c:pt idx="35">
                  <c:v>13028.5</c:v>
                </c:pt>
                <c:pt idx="36">
                  <c:v>13111.5</c:v>
                </c:pt>
                <c:pt idx="37">
                  <c:v>13747</c:v>
                </c:pt>
                <c:pt idx="38">
                  <c:v>14475.5</c:v>
                </c:pt>
                <c:pt idx="39">
                  <c:v>15174.5</c:v>
                </c:pt>
                <c:pt idx="40">
                  <c:v>15232</c:v>
                </c:pt>
                <c:pt idx="41">
                  <c:v>15255.5</c:v>
                </c:pt>
                <c:pt idx="42">
                  <c:v>15420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79-4129-90AE-D7775AB8C15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-29442</c:v>
                </c:pt>
                <c:pt idx="1">
                  <c:v>-29442</c:v>
                </c:pt>
                <c:pt idx="2">
                  <c:v>-29440</c:v>
                </c:pt>
                <c:pt idx="3">
                  <c:v>-28985</c:v>
                </c:pt>
                <c:pt idx="4">
                  <c:v>-28969</c:v>
                </c:pt>
                <c:pt idx="5">
                  <c:v>-28947</c:v>
                </c:pt>
                <c:pt idx="6">
                  <c:v>-28893.5</c:v>
                </c:pt>
                <c:pt idx="7">
                  <c:v>-28854</c:v>
                </c:pt>
                <c:pt idx="8">
                  <c:v>-28092</c:v>
                </c:pt>
                <c:pt idx="9">
                  <c:v>-2874</c:v>
                </c:pt>
                <c:pt idx="10">
                  <c:v>-2765</c:v>
                </c:pt>
                <c:pt idx="11">
                  <c:v>-2260.5</c:v>
                </c:pt>
                <c:pt idx="12">
                  <c:v>0</c:v>
                </c:pt>
                <c:pt idx="13">
                  <c:v>2261.5</c:v>
                </c:pt>
                <c:pt idx="14">
                  <c:v>3025.5</c:v>
                </c:pt>
                <c:pt idx="15">
                  <c:v>3047.5</c:v>
                </c:pt>
                <c:pt idx="16">
                  <c:v>3417</c:v>
                </c:pt>
                <c:pt idx="17">
                  <c:v>5052.5</c:v>
                </c:pt>
                <c:pt idx="18">
                  <c:v>5126</c:v>
                </c:pt>
                <c:pt idx="19">
                  <c:v>5487.5</c:v>
                </c:pt>
                <c:pt idx="20">
                  <c:v>5743.5</c:v>
                </c:pt>
                <c:pt idx="21">
                  <c:v>6335</c:v>
                </c:pt>
                <c:pt idx="22">
                  <c:v>6589</c:v>
                </c:pt>
                <c:pt idx="23">
                  <c:v>7919</c:v>
                </c:pt>
                <c:pt idx="24">
                  <c:v>7960.5</c:v>
                </c:pt>
                <c:pt idx="25">
                  <c:v>9187.5</c:v>
                </c:pt>
                <c:pt idx="26">
                  <c:v>9314</c:v>
                </c:pt>
                <c:pt idx="27">
                  <c:v>10072.5</c:v>
                </c:pt>
                <c:pt idx="28">
                  <c:v>10072.5</c:v>
                </c:pt>
                <c:pt idx="29">
                  <c:v>10100.5</c:v>
                </c:pt>
                <c:pt idx="30">
                  <c:v>12193</c:v>
                </c:pt>
                <c:pt idx="31">
                  <c:v>12288</c:v>
                </c:pt>
                <c:pt idx="32">
                  <c:v>12326</c:v>
                </c:pt>
                <c:pt idx="33">
                  <c:v>12357.5</c:v>
                </c:pt>
                <c:pt idx="34">
                  <c:v>12407</c:v>
                </c:pt>
                <c:pt idx="35">
                  <c:v>13028.5</c:v>
                </c:pt>
                <c:pt idx="36">
                  <c:v>13111.5</c:v>
                </c:pt>
                <c:pt idx="37">
                  <c:v>13747</c:v>
                </c:pt>
                <c:pt idx="38">
                  <c:v>14475.5</c:v>
                </c:pt>
                <c:pt idx="39">
                  <c:v>15174.5</c:v>
                </c:pt>
                <c:pt idx="40">
                  <c:v>15232</c:v>
                </c:pt>
                <c:pt idx="41">
                  <c:v>15255.5</c:v>
                </c:pt>
                <c:pt idx="42">
                  <c:v>15420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79-4129-90AE-D7775AB8C15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-29442</c:v>
                </c:pt>
                <c:pt idx="1">
                  <c:v>-29442</c:v>
                </c:pt>
                <c:pt idx="2">
                  <c:v>-29440</c:v>
                </c:pt>
                <c:pt idx="3">
                  <c:v>-28985</c:v>
                </c:pt>
                <c:pt idx="4">
                  <c:v>-28969</c:v>
                </c:pt>
                <c:pt idx="5">
                  <c:v>-28947</c:v>
                </c:pt>
                <c:pt idx="6">
                  <c:v>-28893.5</c:v>
                </c:pt>
                <c:pt idx="7">
                  <c:v>-28854</c:v>
                </c:pt>
                <c:pt idx="8">
                  <c:v>-28092</c:v>
                </c:pt>
                <c:pt idx="9">
                  <c:v>-2874</c:v>
                </c:pt>
                <c:pt idx="10">
                  <c:v>-2765</c:v>
                </c:pt>
                <c:pt idx="11">
                  <c:v>-2260.5</c:v>
                </c:pt>
                <c:pt idx="12">
                  <c:v>0</c:v>
                </c:pt>
                <c:pt idx="13">
                  <c:v>2261.5</c:v>
                </c:pt>
                <c:pt idx="14">
                  <c:v>3025.5</c:v>
                </c:pt>
                <c:pt idx="15">
                  <c:v>3047.5</c:v>
                </c:pt>
                <c:pt idx="16">
                  <c:v>3417</c:v>
                </c:pt>
                <c:pt idx="17">
                  <c:v>5052.5</c:v>
                </c:pt>
                <c:pt idx="18">
                  <c:v>5126</c:v>
                </c:pt>
                <c:pt idx="19">
                  <c:v>5487.5</c:v>
                </c:pt>
                <c:pt idx="20">
                  <c:v>5743.5</c:v>
                </c:pt>
                <c:pt idx="21">
                  <c:v>6335</c:v>
                </c:pt>
                <c:pt idx="22">
                  <c:v>6589</c:v>
                </c:pt>
                <c:pt idx="23">
                  <c:v>7919</c:v>
                </c:pt>
                <c:pt idx="24">
                  <c:v>7960.5</c:v>
                </c:pt>
                <c:pt idx="25">
                  <c:v>9187.5</c:v>
                </c:pt>
                <c:pt idx="26">
                  <c:v>9314</c:v>
                </c:pt>
                <c:pt idx="27">
                  <c:v>10072.5</c:v>
                </c:pt>
                <c:pt idx="28">
                  <c:v>10072.5</c:v>
                </c:pt>
                <c:pt idx="29">
                  <c:v>10100.5</c:v>
                </c:pt>
                <c:pt idx="30">
                  <c:v>12193</c:v>
                </c:pt>
                <c:pt idx="31">
                  <c:v>12288</c:v>
                </c:pt>
                <c:pt idx="32">
                  <c:v>12326</c:v>
                </c:pt>
                <c:pt idx="33">
                  <c:v>12357.5</c:v>
                </c:pt>
                <c:pt idx="34">
                  <c:v>12407</c:v>
                </c:pt>
                <c:pt idx="35">
                  <c:v>13028.5</c:v>
                </c:pt>
                <c:pt idx="36">
                  <c:v>13111.5</c:v>
                </c:pt>
                <c:pt idx="37">
                  <c:v>13747</c:v>
                </c:pt>
                <c:pt idx="38">
                  <c:v>14475.5</c:v>
                </c:pt>
                <c:pt idx="39">
                  <c:v>15174.5</c:v>
                </c:pt>
                <c:pt idx="40">
                  <c:v>15232</c:v>
                </c:pt>
                <c:pt idx="41">
                  <c:v>15255.5</c:v>
                </c:pt>
                <c:pt idx="42">
                  <c:v>15420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79-4129-90AE-D7775AB8C15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-29442</c:v>
                </c:pt>
                <c:pt idx="1">
                  <c:v>-29442</c:v>
                </c:pt>
                <c:pt idx="2">
                  <c:v>-29440</c:v>
                </c:pt>
                <c:pt idx="3">
                  <c:v>-28985</c:v>
                </c:pt>
                <c:pt idx="4">
                  <c:v>-28969</c:v>
                </c:pt>
                <c:pt idx="5">
                  <c:v>-28947</c:v>
                </c:pt>
                <c:pt idx="6">
                  <c:v>-28893.5</c:v>
                </c:pt>
                <c:pt idx="7">
                  <c:v>-28854</c:v>
                </c:pt>
                <c:pt idx="8">
                  <c:v>-28092</c:v>
                </c:pt>
                <c:pt idx="9">
                  <c:v>-2874</c:v>
                </c:pt>
                <c:pt idx="10">
                  <c:v>-2765</c:v>
                </c:pt>
                <c:pt idx="11">
                  <c:v>-2260.5</c:v>
                </c:pt>
                <c:pt idx="12">
                  <c:v>0</c:v>
                </c:pt>
                <c:pt idx="13">
                  <c:v>2261.5</c:v>
                </c:pt>
                <c:pt idx="14">
                  <c:v>3025.5</c:v>
                </c:pt>
                <c:pt idx="15">
                  <c:v>3047.5</c:v>
                </c:pt>
                <c:pt idx="16">
                  <c:v>3417</c:v>
                </c:pt>
                <c:pt idx="17">
                  <c:v>5052.5</c:v>
                </c:pt>
                <c:pt idx="18">
                  <c:v>5126</c:v>
                </c:pt>
                <c:pt idx="19">
                  <c:v>5487.5</c:v>
                </c:pt>
                <c:pt idx="20">
                  <c:v>5743.5</c:v>
                </c:pt>
                <c:pt idx="21">
                  <c:v>6335</c:v>
                </c:pt>
                <c:pt idx="22">
                  <c:v>6589</c:v>
                </c:pt>
                <c:pt idx="23">
                  <c:v>7919</c:v>
                </c:pt>
                <c:pt idx="24">
                  <c:v>7960.5</c:v>
                </c:pt>
                <c:pt idx="25">
                  <c:v>9187.5</c:v>
                </c:pt>
                <c:pt idx="26">
                  <c:v>9314</c:v>
                </c:pt>
                <c:pt idx="27">
                  <c:v>10072.5</c:v>
                </c:pt>
                <c:pt idx="28">
                  <c:v>10072.5</c:v>
                </c:pt>
                <c:pt idx="29">
                  <c:v>10100.5</c:v>
                </c:pt>
                <c:pt idx="30">
                  <c:v>12193</c:v>
                </c:pt>
                <c:pt idx="31">
                  <c:v>12288</c:v>
                </c:pt>
                <c:pt idx="32">
                  <c:v>12326</c:v>
                </c:pt>
                <c:pt idx="33">
                  <c:v>12357.5</c:v>
                </c:pt>
                <c:pt idx="34">
                  <c:v>12407</c:v>
                </c:pt>
                <c:pt idx="35">
                  <c:v>13028.5</c:v>
                </c:pt>
                <c:pt idx="36">
                  <c:v>13111.5</c:v>
                </c:pt>
                <c:pt idx="37">
                  <c:v>13747</c:v>
                </c:pt>
                <c:pt idx="38">
                  <c:v>14475.5</c:v>
                </c:pt>
                <c:pt idx="39">
                  <c:v>15174.5</c:v>
                </c:pt>
                <c:pt idx="40">
                  <c:v>15232</c:v>
                </c:pt>
                <c:pt idx="41">
                  <c:v>15255.5</c:v>
                </c:pt>
                <c:pt idx="42">
                  <c:v>15420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-0.10278146029979116</c:v>
                </c:pt>
                <c:pt idx="1">
                  <c:v>-0.10278146029979116</c:v>
                </c:pt>
                <c:pt idx="2">
                  <c:v>-0.10277529435398064</c:v>
                </c:pt>
                <c:pt idx="3">
                  <c:v>-0.1013725416820912</c:v>
                </c:pt>
                <c:pt idx="4">
                  <c:v>-0.10132321411560719</c:v>
                </c:pt>
                <c:pt idx="5">
                  <c:v>-0.10125538871169165</c:v>
                </c:pt>
                <c:pt idx="6">
                  <c:v>-0.10109044966126068</c:v>
                </c:pt>
                <c:pt idx="7">
                  <c:v>-0.10096867223150327</c:v>
                </c:pt>
                <c:pt idx="8">
                  <c:v>-9.8619446877701633E-2</c:v>
                </c:pt>
                <c:pt idx="9">
                  <c:v>-2.0873036153069447E-2</c:v>
                </c:pt>
                <c:pt idx="10">
                  <c:v>-2.0536992106397034E-2</c:v>
                </c:pt>
                <c:pt idx="11">
                  <c:v>-1.8981632275697657E-2</c:v>
                </c:pt>
                <c:pt idx="12">
                  <c:v>-1.2012572023376654E-2</c:v>
                </c:pt>
                <c:pt idx="13">
                  <c:v>-5.0404287981504004E-3</c:v>
                </c:pt>
                <c:pt idx="14">
                  <c:v>-2.6850374985382588E-3</c:v>
                </c:pt>
                <c:pt idx="15">
                  <c:v>-2.6172120946227253E-3</c:v>
                </c:pt>
                <c:pt idx="16">
                  <c:v>-1.4780536061322989E-3</c:v>
                </c:pt>
                <c:pt idx="17">
                  <c:v>3.5641485804065193E-3</c:v>
                </c:pt>
                <c:pt idx="18">
                  <c:v>3.7907470889425032E-3</c:v>
                </c:pt>
                <c:pt idx="19">
                  <c:v>4.905241794190919E-3</c:v>
                </c:pt>
                <c:pt idx="20">
                  <c:v>5.6944828579353034E-3</c:v>
                </c:pt>
                <c:pt idx="21">
                  <c:v>7.5180613313915595E-3</c:v>
                </c:pt>
                <c:pt idx="22">
                  <c:v>8.3011364493254421E-3</c:v>
                </c:pt>
                <c:pt idx="23">
                  <c:v>1.2401490413309929E-2</c:v>
                </c:pt>
                <c:pt idx="24">
                  <c:v>1.2529433788877865E-2</c:v>
                </c:pt>
                <c:pt idx="25">
                  <c:v>1.6312241543621448E-2</c:v>
                </c:pt>
                <c:pt idx="26">
                  <c:v>1.6702237616135762E-2</c:v>
                </c:pt>
                <c:pt idx="27">
                  <c:v>1.9040672564769021E-2</c:v>
                </c:pt>
                <c:pt idx="28">
                  <c:v>1.9040672564769021E-2</c:v>
                </c:pt>
                <c:pt idx="29">
                  <c:v>1.9126995806116064E-2</c:v>
                </c:pt>
                <c:pt idx="30">
                  <c:v>2.5578116610354813E-2</c:v>
                </c:pt>
                <c:pt idx="31">
                  <c:v>2.5870999036353703E-2</c:v>
                </c:pt>
                <c:pt idx="32">
                  <c:v>2.5988152006753265E-2</c:v>
                </c:pt>
                <c:pt idx="33">
                  <c:v>2.6085265653268686E-2</c:v>
                </c:pt>
                <c:pt idx="34">
                  <c:v>2.6237872812078636E-2</c:v>
                </c:pt>
                <c:pt idx="35">
                  <c:v>2.8153940472692436E-2</c:v>
                </c:pt>
                <c:pt idx="36">
                  <c:v>2.8409827223828309E-2</c:v>
                </c:pt>
                <c:pt idx="37">
                  <c:v>3.0369056505115635E-2</c:v>
                </c:pt>
                <c:pt idx="38">
                  <c:v>3.261500226659135E-2</c:v>
                </c:pt>
                <c:pt idx="39">
                  <c:v>3.477000032736214E-2</c:v>
                </c:pt>
                <c:pt idx="40">
                  <c:v>3.4947271269414104E-2</c:v>
                </c:pt>
                <c:pt idx="41">
                  <c:v>3.501972113268751E-2</c:v>
                </c:pt>
                <c:pt idx="42">
                  <c:v>3.5526870175601383E-2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79-4129-90AE-D7775AB8C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49488"/>
        <c:axId val="1"/>
      </c:scatterChart>
      <c:valAx>
        <c:axId val="736449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4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7741935483871"/>
          <c:y val="0.91950464396284826"/>
          <c:w val="0.7306451612903225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V1193 Cyg - O-C Diagr.</a:t>
            </a:r>
          </a:p>
        </c:rich>
      </c:tx>
      <c:layout>
        <c:manualLayout>
          <c:xMode val="edge"/>
          <c:yMode val="edge"/>
          <c:x val="0.3570278028655141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9428229304629"/>
          <c:y val="0.14860681114551083"/>
          <c:w val="0.8255256915811253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0A-47A4-889A-0ABC7D61E9E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1">
                  <c:v>0</c:v>
                </c:pt>
                <c:pt idx="2">
                  <c:v>-1.4999999999417923E-2</c:v>
                </c:pt>
                <c:pt idx="3">
                  <c:v>5.5999999996856786E-2</c:v>
                </c:pt>
                <c:pt idx="4">
                  <c:v>2.9000000002270099E-2</c:v>
                </c:pt>
                <c:pt idx="5">
                  <c:v>-2.3000000001047738E-2</c:v>
                </c:pt>
                <c:pt idx="6">
                  <c:v>-1.0999999998603016E-2</c:v>
                </c:pt>
                <c:pt idx="7">
                  <c:v>-1.0000000002037268E-2</c:v>
                </c:pt>
                <c:pt idx="8">
                  <c:v>2.1999999997206032E-2</c:v>
                </c:pt>
                <c:pt idx="9">
                  <c:v>1.5417999999917811</c:v>
                </c:pt>
                <c:pt idx="10">
                  <c:v>1.5210999999981141</c:v>
                </c:pt>
                <c:pt idx="11">
                  <c:v>1.5728999999992084</c:v>
                </c:pt>
                <c:pt idx="15">
                  <c:v>2.1346599999960745</c:v>
                </c:pt>
                <c:pt idx="17">
                  <c:v>1.8614999999990687</c:v>
                </c:pt>
                <c:pt idx="19">
                  <c:v>1.9489999999932479</c:v>
                </c:pt>
                <c:pt idx="20">
                  <c:v>2.181799999998475</c:v>
                </c:pt>
                <c:pt idx="21">
                  <c:v>1.9153000000005704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0A-47A4-889A-0ABC7D61E9E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  <c:pt idx="13">
                  <c:v>1.813399999999092</c:v>
                </c:pt>
                <c:pt idx="16">
                  <c:v>1.9170999999914784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0A-47A4-889A-0ABC7D61E9E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12">
                  <c:v>1.9490999999979977</c:v>
                </c:pt>
                <c:pt idx="14">
                  <c:v>2.1736699999964912</c:v>
                </c:pt>
                <c:pt idx="18">
                  <c:v>2.1534499999979744</c:v>
                </c:pt>
                <c:pt idx="22">
                  <c:v>2.1476999999940745</c:v>
                </c:pt>
                <c:pt idx="23">
                  <c:v>1.8678999999974621</c:v>
                </c:pt>
                <c:pt idx="24">
                  <c:v>1.8797999999951571</c:v>
                </c:pt>
                <c:pt idx="25">
                  <c:v>1.9471099999936996</c:v>
                </c:pt>
                <c:pt idx="26">
                  <c:v>1.980199999990873</c:v>
                </c:pt>
                <c:pt idx="27">
                  <c:v>1.9335999999966589</c:v>
                </c:pt>
                <c:pt idx="28">
                  <c:v>1.9345399999947404</c:v>
                </c:pt>
                <c:pt idx="29">
                  <c:v>1.8839999999981956</c:v>
                </c:pt>
                <c:pt idx="30">
                  <c:v>1.8904999999940628</c:v>
                </c:pt>
                <c:pt idx="31">
                  <c:v>1.8964999999952852</c:v>
                </c:pt>
                <c:pt idx="32">
                  <c:v>2.1653999999907683</c:v>
                </c:pt>
                <c:pt idx="33">
                  <c:v>1.8548999999911757</c:v>
                </c:pt>
                <c:pt idx="34">
                  <c:v>1.8554999999905704</c:v>
                </c:pt>
                <c:pt idx="35">
                  <c:v>1.8744999999980791</c:v>
                </c:pt>
                <c:pt idx="36">
                  <c:v>1.9003999999986263</c:v>
                </c:pt>
                <c:pt idx="37">
                  <c:v>1.8967999999949825</c:v>
                </c:pt>
                <c:pt idx="38">
                  <c:v>1.9019999999945867</c:v>
                </c:pt>
                <c:pt idx="39">
                  <c:v>1.8730999999970663</c:v>
                </c:pt>
                <c:pt idx="40">
                  <c:v>1.859599999996135</c:v>
                </c:pt>
                <c:pt idx="41">
                  <c:v>1.9017999999996391</c:v>
                </c:pt>
                <c:pt idx="42">
                  <c:v>1.8689999999915017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0A-47A4-889A-0ABC7D61E9E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0A-47A4-889A-0ABC7D61E9E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0A-47A4-889A-0ABC7D61E9E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0A-47A4-889A-0ABC7D61E9E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2.3906617009163433</c:v>
                </c:pt>
                <c:pt idx="1">
                  <c:v>2.3906617009163433</c:v>
                </c:pt>
                <c:pt idx="2">
                  <c:v>2.3906388062647927</c:v>
                </c:pt>
                <c:pt idx="3">
                  <c:v>2.3854493519132918</c:v>
                </c:pt>
                <c:pt idx="4">
                  <c:v>2.3852661947008857</c:v>
                </c:pt>
                <c:pt idx="5">
                  <c:v>2.385014353533828</c:v>
                </c:pt>
                <c:pt idx="6">
                  <c:v>2.3844038294924745</c:v>
                </c:pt>
                <c:pt idx="7">
                  <c:v>2.383953568011977</c:v>
                </c:pt>
                <c:pt idx="8">
                  <c:v>2.3752612319732131</c:v>
                </c:pt>
                <c:pt idx="9">
                  <c:v>2.0876051983392125</c:v>
                </c:pt>
                <c:pt idx="10">
                  <c:v>2.0863612556049556</c:v>
                </c:pt>
                <c:pt idx="11">
                  <c:v>2.0806070665152032</c:v>
                </c:pt>
                <c:pt idx="12">
                  <c:v>2.0548276888690715</c:v>
                </c:pt>
                <c:pt idx="13">
                  <c:v>2.0290254165713888</c:v>
                </c:pt>
                <c:pt idx="14">
                  <c:v>2.0203178174315908</c:v>
                </c:pt>
                <c:pt idx="15">
                  <c:v>2.0200659762645325</c:v>
                </c:pt>
                <c:pt idx="16">
                  <c:v>2.0158457288286797</c:v>
                </c:pt>
                <c:pt idx="17">
                  <c:v>1.9971865878148276</c:v>
                </c:pt>
                <c:pt idx="18">
                  <c:v>1.9963547488084841</c:v>
                </c:pt>
                <c:pt idx="19">
                  <c:v>1.9922260799788343</c:v>
                </c:pt>
                <c:pt idx="20">
                  <c:v>1.9893108276813734</c:v>
                </c:pt>
                <c:pt idx="21">
                  <c:v>1.9825569054739054</c:v>
                </c:pt>
                <c:pt idx="22">
                  <c:v>1.9796645478279955</c:v>
                </c:pt>
                <c:pt idx="23">
                  <c:v>1.9644853938498557</c:v>
                </c:pt>
                <c:pt idx="24">
                  <c:v>1.9640122377178071</c:v>
                </c:pt>
                <c:pt idx="25">
                  <c:v>1.9500159740697887</c:v>
                </c:pt>
                <c:pt idx="26">
                  <c:v>1.9485736110220921</c:v>
                </c:pt>
                <c:pt idx="27">
                  <c:v>1.9399194327359128</c:v>
                </c:pt>
                <c:pt idx="28">
                  <c:v>1.9399194327359128</c:v>
                </c:pt>
                <c:pt idx="29">
                  <c:v>1.9395989076142024</c:v>
                </c:pt>
                <c:pt idx="30">
                  <c:v>1.9157274175972987</c:v>
                </c:pt>
                <c:pt idx="31">
                  <c:v>1.9146437374238969</c:v>
                </c:pt>
                <c:pt idx="32">
                  <c:v>1.91421637059495</c:v>
                </c:pt>
                <c:pt idx="33">
                  <c:v>1.9138500561701379</c:v>
                </c:pt>
                <c:pt idx="34">
                  <c:v>1.9132853214318866</c:v>
                </c:pt>
                <c:pt idx="35">
                  <c:v>1.9061956110016745</c:v>
                </c:pt>
                <c:pt idx="36">
                  <c:v>1.9052492987375771</c:v>
                </c:pt>
                <c:pt idx="37">
                  <c:v>1.8979993257465098</c:v>
                </c:pt>
                <c:pt idx="38">
                  <c:v>1.8896885672335917</c:v>
                </c:pt>
                <c:pt idx="39">
                  <c:v>1.8817135969434176</c:v>
                </c:pt>
                <c:pt idx="40">
                  <c:v>1.8810572835989632</c:v>
                </c:pt>
                <c:pt idx="41">
                  <c:v>1.8807901793308712</c:v>
                </c:pt>
                <c:pt idx="42">
                  <c:v>1.8789128179037105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0A-47A4-889A-0ABC7D61E9E1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2'!$U$21:$U$992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0A-47A4-889A-0ABC7D61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62088"/>
        <c:axId val="1"/>
      </c:scatterChart>
      <c:valAx>
        <c:axId val="736462088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1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62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1950464396284826"/>
          <c:w val="0.77706045225768428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V1193 Cyg - O-C Diagr.</a:t>
            </a:r>
          </a:p>
        </c:rich>
      </c:tx>
      <c:layout>
        <c:manualLayout>
          <c:xMode val="edge"/>
          <c:yMode val="edge"/>
          <c:x val="0.356451612903225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814859468012961"/>
          <c:w val="0.8193548387096774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CE-4514-A962-7C1541670119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1">
                  <c:v>0</c:v>
                </c:pt>
                <c:pt idx="2">
                  <c:v>-1.4999999999417923E-2</c:v>
                </c:pt>
                <c:pt idx="3">
                  <c:v>5.5999999996856786E-2</c:v>
                </c:pt>
                <c:pt idx="4">
                  <c:v>2.9000000002270099E-2</c:v>
                </c:pt>
                <c:pt idx="5">
                  <c:v>-2.3000000001047738E-2</c:v>
                </c:pt>
                <c:pt idx="6">
                  <c:v>-1.0999999998603016E-2</c:v>
                </c:pt>
                <c:pt idx="7">
                  <c:v>-1.0000000002037268E-2</c:v>
                </c:pt>
                <c:pt idx="8">
                  <c:v>2.1999999997206032E-2</c:v>
                </c:pt>
                <c:pt idx="9">
                  <c:v>1.5417999999917811</c:v>
                </c:pt>
                <c:pt idx="10">
                  <c:v>1.5210999999981141</c:v>
                </c:pt>
                <c:pt idx="11">
                  <c:v>1.5728999999992084</c:v>
                </c:pt>
                <c:pt idx="15">
                  <c:v>2.1346599999960745</c:v>
                </c:pt>
                <c:pt idx="17">
                  <c:v>1.8614999999990687</c:v>
                </c:pt>
                <c:pt idx="19">
                  <c:v>1.9489999999932479</c:v>
                </c:pt>
                <c:pt idx="20">
                  <c:v>2.181799999998475</c:v>
                </c:pt>
                <c:pt idx="21">
                  <c:v>1.9153000000005704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CE-4514-A962-7C1541670119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  <c:pt idx="13">
                  <c:v>1.813399999999092</c:v>
                </c:pt>
                <c:pt idx="16">
                  <c:v>1.9170999999914784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CE-4514-A962-7C1541670119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12">
                  <c:v>1.9490999999979977</c:v>
                </c:pt>
                <c:pt idx="14">
                  <c:v>2.1736699999964912</c:v>
                </c:pt>
                <c:pt idx="18">
                  <c:v>2.1534499999979744</c:v>
                </c:pt>
                <c:pt idx="22">
                  <c:v>2.1476999999940745</c:v>
                </c:pt>
                <c:pt idx="23">
                  <c:v>1.8678999999974621</c:v>
                </c:pt>
                <c:pt idx="24">
                  <c:v>1.8797999999951571</c:v>
                </c:pt>
                <c:pt idx="25">
                  <c:v>1.9471099999936996</c:v>
                </c:pt>
                <c:pt idx="26">
                  <c:v>1.980199999990873</c:v>
                </c:pt>
                <c:pt idx="27">
                  <c:v>1.9335999999966589</c:v>
                </c:pt>
                <c:pt idx="28">
                  <c:v>1.9345399999947404</c:v>
                </c:pt>
                <c:pt idx="29">
                  <c:v>1.8839999999981956</c:v>
                </c:pt>
                <c:pt idx="30">
                  <c:v>1.8904999999940628</c:v>
                </c:pt>
                <c:pt idx="31">
                  <c:v>1.8964999999952852</c:v>
                </c:pt>
                <c:pt idx="32">
                  <c:v>2.1653999999907683</c:v>
                </c:pt>
                <c:pt idx="33">
                  <c:v>1.8548999999911757</c:v>
                </c:pt>
                <c:pt idx="34">
                  <c:v>1.8554999999905704</c:v>
                </c:pt>
                <c:pt idx="35">
                  <c:v>1.8744999999980791</c:v>
                </c:pt>
                <c:pt idx="36">
                  <c:v>1.9003999999986263</c:v>
                </c:pt>
                <c:pt idx="37">
                  <c:v>1.8967999999949825</c:v>
                </c:pt>
                <c:pt idx="38">
                  <c:v>1.9019999999945867</c:v>
                </c:pt>
                <c:pt idx="39">
                  <c:v>1.8730999999970663</c:v>
                </c:pt>
                <c:pt idx="40">
                  <c:v>1.859599999996135</c:v>
                </c:pt>
                <c:pt idx="41">
                  <c:v>1.9017999999996391</c:v>
                </c:pt>
                <c:pt idx="42">
                  <c:v>1.8689999999915017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CE-4514-A962-7C1541670119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CE-4514-A962-7C1541670119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CE-4514-A962-7C1541670119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1.1000000000000001E-3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1.2999999999999999E-3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1E-4</c:v>
                  </c:pt>
                  <c:pt idx="23">
                    <c:v>2.5000000000000001E-3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4.0000000000000002E-4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CE-4514-A962-7C1541670119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2.3906617009163433</c:v>
                </c:pt>
                <c:pt idx="1">
                  <c:v>2.3906617009163433</c:v>
                </c:pt>
                <c:pt idx="2">
                  <c:v>2.3906388062647927</c:v>
                </c:pt>
                <c:pt idx="3">
                  <c:v>2.3854493519132918</c:v>
                </c:pt>
                <c:pt idx="4">
                  <c:v>2.3852661947008857</c:v>
                </c:pt>
                <c:pt idx="5">
                  <c:v>2.385014353533828</c:v>
                </c:pt>
                <c:pt idx="6">
                  <c:v>2.3844038294924745</c:v>
                </c:pt>
                <c:pt idx="7">
                  <c:v>2.383953568011977</c:v>
                </c:pt>
                <c:pt idx="8">
                  <c:v>2.3752612319732131</c:v>
                </c:pt>
                <c:pt idx="9">
                  <c:v>2.0876051983392125</c:v>
                </c:pt>
                <c:pt idx="10">
                  <c:v>2.0863612556049556</c:v>
                </c:pt>
                <c:pt idx="11">
                  <c:v>2.0806070665152032</c:v>
                </c:pt>
                <c:pt idx="12">
                  <c:v>2.0548276888690715</c:v>
                </c:pt>
                <c:pt idx="13">
                  <c:v>2.0290254165713888</c:v>
                </c:pt>
                <c:pt idx="14">
                  <c:v>2.0203178174315908</c:v>
                </c:pt>
                <c:pt idx="15">
                  <c:v>2.0200659762645325</c:v>
                </c:pt>
                <c:pt idx="16">
                  <c:v>2.0158457288286797</c:v>
                </c:pt>
                <c:pt idx="17">
                  <c:v>1.9971865878148276</c:v>
                </c:pt>
                <c:pt idx="18">
                  <c:v>1.9963547488084841</c:v>
                </c:pt>
                <c:pt idx="19">
                  <c:v>1.9922260799788343</c:v>
                </c:pt>
                <c:pt idx="20">
                  <c:v>1.9893108276813734</c:v>
                </c:pt>
                <c:pt idx="21">
                  <c:v>1.9825569054739054</c:v>
                </c:pt>
                <c:pt idx="22">
                  <c:v>1.9796645478279955</c:v>
                </c:pt>
                <c:pt idx="23">
                  <c:v>1.9644853938498557</c:v>
                </c:pt>
                <c:pt idx="24">
                  <c:v>1.9640122377178071</c:v>
                </c:pt>
                <c:pt idx="25">
                  <c:v>1.9500159740697887</c:v>
                </c:pt>
                <c:pt idx="26">
                  <c:v>1.9485736110220921</c:v>
                </c:pt>
                <c:pt idx="27">
                  <c:v>1.9399194327359128</c:v>
                </c:pt>
                <c:pt idx="28">
                  <c:v>1.9399194327359128</c:v>
                </c:pt>
                <c:pt idx="29">
                  <c:v>1.9395989076142024</c:v>
                </c:pt>
                <c:pt idx="30">
                  <c:v>1.9157274175972987</c:v>
                </c:pt>
                <c:pt idx="31">
                  <c:v>1.9146437374238969</c:v>
                </c:pt>
                <c:pt idx="32">
                  <c:v>1.91421637059495</c:v>
                </c:pt>
                <c:pt idx="33">
                  <c:v>1.9138500561701379</c:v>
                </c:pt>
                <c:pt idx="34">
                  <c:v>1.9132853214318866</c:v>
                </c:pt>
                <c:pt idx="35">
                  <c:v>1.9061956110016745</c:v>
                </c:pt>
                <c:pt idx="36">
                  <c:v>1.9052492987375771</c:v>
                </c:pt>
                <c:pt idx="37">
                  <c:v>1.8979993257465098</c:v>
                </c:pt>
                <c:pt idx="38">
                  <c:v>1.8896885672335917</c:v>
                </c:pt>
                <c:pt idx="39">
                  <c:v>1.8817135969434176</c:v>
                </c:pt>
                <c:pt idx="40">
                  <c:v>1.8810572835989632</c:v>
                </c:pt>
                <c:pt idx="41">
                  <c:v>1.8807901793308712</c:v>
                </c:pt>
                <c:pt idx="42">
                  <c:v>1.8789128179037105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CE-4514-A962-7C1541670119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341.5</c:v>
                </c:pt>
                <c:pt idx="4">
                  <c:v>353.5</c:v>
                </c:pt>
                <c:pt idx="5">
                  <c:v>370</c:v>
                </c:pt>
                <c:pt idx="6">
                  <c:v>410</c:v>
                </c:pt>
                <c:pt idx="7">
                  <c:v>439.5</c:v>
                </c:pt>
                <c:pt idx="8">
                  <c:v>1009</c:v>
                </c:pt>
                <c:pt idx="9">
                  <c:v>19855.5</c:v>
                </c:pt>
                <c:pt idx="10">
                  <c:v>19937</c:v>
                </c:pt>
                <c:pt idx="11">
                  <c:v>20314</c:v>
                </c:pt>
                <c:pt idx="12">
                  <c:v>22003</c:v>
                </c:pt>
                <c:pt idx="13">
                  <c:v>23693.5</c:v>
                </c:pt>
                <c:pt idx="14">
                  <c:v>24264</c:v>
                </c:pt>
                <c:pt idx="15">
                  <c:v>24280.5</c:v>
                </c:pt>
                <c:pt idx="16">
                  <c:v>24557</c:v>
                </c:pt>
                <c:pt idx="17">
                  <c:v>25779.5</c:v>
                </c:pt>
                <c:pt idx="18">
                  <c:v>25834</c:v>
                </c:pt>
                <c:pt idx="19">
                  <c:v>26104.5</c:v>
                </c:pt>
                <c:pt idx="20">
                  <c:v>26295.5</c:v>
                </c:pt>
                <c:pt idx="21">
                  <c:v>26738</c:v>
                </c:pt>
                <c:pt idx="22">
                  <c:v>26927.5</c:v>
                </c:pt>
                <c:pt idx="23">
                  <c:v>27922</c:v>
                </c:pt>
                <c:pt idx="24">
                  <c:v>27953</c:v>
                </c:pt>
                <c:pt idx="25">
                  <c:v>28870</c:v>
                </c:pt>
                <c:pt idx="26">
                  <c:v>28964.5</c:v>
                </c:pt>
                <c:pt idx="27">
                  <c:v>29531.5</c:v>
                </c:pt>
                <c:pt idx="28">
                  <c:v>29531.5</c:v>
                </c:pt>
                <c:pt idx="29">
                  <c:v>29552.5</c:v>
                </c:pt>
                <c:pt idx="30">
                  <c:v>31116.5</c:v>
                </c:pt>
                <c:pt idx="31">
                  <c:v>31187.5</c:v>
                </c:pt>
                <c:pt idx="32">
                  <c:v>31215.5</c:v>
                </c:pt>
                <c:pt idx="33">
                  <c:v>31239.5</c:v>
                </c:pt>
                <c:pt idx="34">
                  <c:v>31276.5</c:v>
                </c:pt>
                <c:pt idx="35">
                  <c:v>31741</c:v>
                </c:pt>
                <c:pt idx="36">
                  <c:v>31803</c:v>
                </c:pt>
                <c:pt idx="37">
                  <c:v>32278</c:v>
                </c:pt>
                <c:pt idx="38">
                  <c:v>32822.5</c:v>
                </c:pt>
                <c:pt idx="39">
                  <c:v>33345</c:v>
                </c:pt>
                <c:pt idx="40">
                  <c:v>33388</c:v>
                </c:pt>
                <c:pt idx="41">
                  <c:v>33405.5</c:v>
                </c:pt>
                <c:pt idx="42">
                  <c:v>33528.5</c:v>
                </c:pt>
              </c:numCache>
            </c:numRef>
          </c:xVal>
          <c:yVal>
            <c:numRef>
              <c:f>'Active 2'!$U$21:$U$992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CE-4514-A962-7C154167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66408"/>
        <c:axId val="1"/>
      </c:scatterChart>
      <c:valAx>
        <c:axId val="736466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66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58064516129032"/>
          <c:y val="0.91975600272188196"/>
          <c:w val="0.7758064516129031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561975</xdr:colOff>
      <xdr:row>18</xdr:row>
      <xdr:rowOff>0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0237D950-B5A1-C1D1-60F8-BA72B750B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285750</xdr:colOff>
      <xdr:row>17</xdr:row>
      <xdr:rowOff>161925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4169A05F-2444-0BDA-309E-3A43EA178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552450</xdr:colOff>
      <xdr:row>0</xdr:row>
      <xdr:rowOff>19050</xdr:rowOff>
    </xdr:from>
    <xdr:to>
      <xdr:col>27</xdr:col>
      <xdr:colOff>152400</xdr:colOff>
      <xdr:row>17</xdr:row>
      <xdr:rowOff>95250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466390C0-D0E0-B2BF-7402-87AD2AD36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konkoly.hu/cgi-bin/IBVS?4750" TargetMode="External"/><Relationship Id="rId6" Type="http://schemas.openxmlformats.org/officeDocument/2006/relationships/hyperlink" Target="http://www.bav-astro.de/sfs/BAVM_link.php?BAVMnr=212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186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6007" TargetMode="External"/><Relationship Id="rId9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0"/>
  <sheetViews>
    <sheetView tabSelected="1" workbookViewId="0">
      <pane xSplit="14" ySplit="22" topLeftCell="O43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6.7109375" customWidth="1"/>
    <col min="2" max="2" width="5.140625" customWidth="1"/>
    <col min="3" max="3" width="11.85546875" customWidth="1"/>
    <col min="4" max="4" width="9.42578125" customWidth="1"/>
    <col min="5" max="5" width="13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0" ht="20.25" x14ac:dyDescent="0.3">
      <c r="A1" s="1" t="s">
        <v>33</v>
      </c>
    </row>
    <row r="2" spans="1:20" x14ac:dyDescent="0.2">
      <c r="A2" t="s">
        <v>24</v>
      </c>
      <c r="B2" t="s">
        <v>32</v>
      </c>
      <c r="C2" s="17" t="s">
        <v>179</v>
      </c>
      <c r="D2" s="3"/>
    </row>
    <row r="3" spans="1:20" ht="13.5" thickBot="1" x14ac:dyDescent="0.25"/>
    <row r="4" spans="1:20" ht="14.25" thickTop="1" thickBot="1" x14ac:dyDescent="0.25">
      <c r="A4" s="5" t="s">
        <v>1</v>
      </c>
      <c r="C4" s="8" t="s">
        <v>28</v>
      </c>
      <c r="D4" s="9" t="s">
        <v>28</v>
      </c>
    </row>
    <row r="6" spans="1:20" x14ac:dyDescent="0.2">
      <c r="A6" s="5" t="s">
        <v>2</v>
      </c>
    </row>
    <row r="7" spans="1:20" x14ac:dyDescent="0.2">
      <c r="A7" t="s">
        <v>3</v>
      </c>
      <c r="C7" s="11">
        <v>52500.199099999998</v>
      </c>
      <c r="D7" s="81" t="s">
        <v>178</v>
      </c>
    </row>
    <row r="8" spans="1:20" x14ac:dyDescent="0.2">
      <c r="A8" t="s">
        <v>4</v>
      </c>
      <c r="C8" s="11">
        <v>0.50376560999999997</v>
      </c>
      <c r="D8" s="81" t="s">
        <v>178</v>
      </c>
      <c r="Q8">
        <v>1.5</v>
      </c>
      <c r="R8">
        <v>2</v>
      </c>
      <c r="S8">
        <v>2.5</v>
      </c>
      <c r="T8">
        <v>3</v>
      </c>
    </row>
    <row r="9" spans="1:20" x14ac:dyDescent="0.2">
      <c r="A9" s="19" t="s">
        <v>36</v>
      </c>
      <c r="B9" s="20"/>
      <c r="C9" s="21">
        <v>-9.5</v>
      </c>
      <c r="D9" s="20" t="s">
        <v>37</v>
      </c>
      <c r="E9" s="20"/>
    </row>
    <row r="10" spans="1:20" ht="13.5" thickBot="1" x14ac:dyDescent="0.25">
      <c r="A10" s="20"/>
      <c r="B10" s="20"/>
      <c r="C10" s="4" t="s">
        <v>20</v>
      </c>
      <c r="D10" s="4" t="s">
        <v>21</v>
      </c>
      <c r="E10" s="20"/>
    </row>
    <row r="11" spans="1:20" x14ac:dyDescent="0.2">
      <c r="A11" s="20" t="s">
        <v>16</v>
      </c>
      <c r="B11" s="20"/>
      <c r="C11" s="32">
        <f ca="1">INTERCEPT(INDIRECT($G$11):G992,INDIRECT($F$11):F992)</f>
        <v>-1.2012572023376654E-2</v>
      </c>
      <c r="D11" s="3"/>
      <c r="E11" s="20"/>
      <c r="F11" s="33" t="str">
        <f>"F"&amp;E19</f>
        <v>F21</v>
      </c>
      <c r="G11" s="18" t="str">
        <f>"G"&amp;E19</f>
        <v>G21</v>
      </c>
    </row>
    <row r="12" spans="1:20" x14ac:dyDescent="0.2">
      <c r="A12" s="20" t="s">
        <v>17</v>
      </c>
      <c r="B12" s="20"/>
      <c r="C12" s="32">
        <f ca="1">SLOPE(INDIRECT($G$11):G992,INDIRECT($F$11):F992)</f>
        <v>3.0829729052514941E-6</v>
      </c>
      <c r="D12" s="3"/>
      <c r="E12" s="73" t="s">
        <v>176</v>
      </c>
      <c r="F12" s="74" t="s">
        <v>175</v>
      </c>
    </row>
    <row r="13" spans="1:20" x14ac:dyDescent="0.2">
      <c r="A13" s="20" t="s">
        <v>19</v>
      </c>
      <c r="B13" s="20"/>
      <c r="C13" s="3" t="s">
        <v>14</v>
      </c>
      <c r="D13" s="24"/>
      <c r="E13" s="71" t="s">
        <v>44</v>
      </c>
      <c r="F13" s="75">
        <v>1</v>
      </c>
    </row>
    <row r="14" spans="1:20" x14ac:dyDescent="0.2">
      <c r="A14" s="20"/>
      <c r="B14" s="20"/>
      <c r="C14" s="20"/>
      <c r="D14" s="24"/>
      <c r="E14" s="71" t="s">
        <v>38</v>
      </c>
      <c r="F14" s="76">
        <f ca="1">NOW()+15018.5+$C$5/24</f>
        <v>60545.097005671298</v>
      </c>
    </row>
    <row r="15" spans="1:20" x14ac:dyDescent="0.2">
      <c r="A15" s="22" t="s">
        <v>18</v>
      </c>
      <c r="B15" s="20"/>
      <c r="C15" s="23">
        <f ca="1">(C7+C11)+(C8+C12)*INT(MAX(F21:F3533))</f>
        <v>60268.300333070176</v>
      </c>
      <c r="D15" s="24"/>
      <c r="E15" s="71" t="s">
        <v>45</v>
      </c>
      <c r="F15" s="76">
        <f ca="1">ROUND(2*($F$14-$C$7)/$C$8,0)/2+$F$13</f>
        <v>15970.5</v>
      </c>
    </row>
    <row r="16" spans="1:20" x14ac:dyDescent="0.2">
      <c r="A16" s="25" t="s">
        <v>5</v>
      </c>
      <c r="B16" s="20"/>
      <c r="C16" s="26">
        <f ca="1">+C8+C12</f>
        <v>0.50376869297290527</v>
      </c>
      <c r="D16" s="24"/>
      <c r="E16" s="71" t="s">
        <v>39</v>
      </c>
      <c r="F16" s="76">
        <f ca="1">ROUND(2*($F$14-$C$15)/$C$16,0)/2+$F$13</f>
        <v>550.5</v>
      </c>
    </row>
    <row r="17" spans="1:18" ht="13.5" thickBot="1" x14ac:dyDescent="0.25">
      <c r="A17" s="24" t="s">
        <v>29</v>
      </c>
      <c r="B17" s="20"/>
      <c r="C17" s="20">
        <f>COUNT(C21:C2191)</f>
        <v>43</v>
      </c>
      <c r="D17" s="24"/>
      <c r="E17" s="82" t="s">
        <v>173</v>
      </c>
      <c r="F17" s="77">
        <f ca="1">+$C$15+$C$16*$F$16-15018.5-$C$9/24</f>
        <v>45527.520831885093</v>
      </c>
    </row>
    <row r="18" spans="1:18" ht="14.25" thickTop="1" thickBot="1" x14ac:dyDescent="0.25">
      <c r="A18" s="25" t="s">
        <v>6</v>
      </c>
      <c r="B18" s="20"/>
      <c r="C18" s="28">
        <f ca="1">+C15</f>
        <v>60268.300333070176</v>
      </c>
      <c r="D18" s="29">
        <f ca="1">+C16</f>
        <v>0.50376869297290527</v>
      </c>
      <c r="E18" s="72" t="s">
        <v>174</v>
      </c>
      <c r="F18" s="78">
        <f ca="1">+($C$15+$C$16*$F$16)-($C$16/2)-15018.5-$C$9/24</f>
        <v>45527.268947538607</v>
      </c>
    </row>
    <row r="19" spans="1:18" ht="13.5" thickTop="1" x14ac:dyDescent="0.2">
      <c r="A19" s="34" t="s">
        <v>41</v>
      </c>
      <c r="E19" s="35">
        <v>21</v>
      </c>
      <c r="R19">
        <f>SUM(R22:R33)</f>
        <v>0</v>
      </c>
    </row>
    <row r="20" spans="1:18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30</v>
      </c>
      <c r="C21" s="10">
        <v>37668.228000000003</v>
      </c>
      <c r="D21" s="10" t="s">
        <v>14</v>
      </c>
      <c r="E21">
        <f t="shared" ref="E21:E35" si="0">+(C21-C$7)/C$8</f>
        <v>-29442.206465820476</v>
      </c>
      <c r="F21">
        <f t="shared" ref="F21:F38" si="1">ROUND(2*E21,0)/2</f>
        <v>-29442</v>
      </c>
      <c r="G21">
        <f t="shared" ref="G21:G35" si="2">+C21-(C$7+F21*C$8)</f>
        <v>-0.10401037999690743</v>
      </c>
      <c r="H21">
        <f>+G21</f>
        <v>-0.10401037999690743</v>
      </c>
      <c r="O21">
        <f t="shared" ref="O21:O35" ca="1" si="3">+C$11+C$12*$F21</f>
        <v>-0.10278146029979116</v>
      </c>
      <c r="Q21" s="2">
        <f t="shared" ref="Q21:Q35" si="4">+C21-15018.5</f>
        <v>22649.728000000003</v>
      </c>
    </row>
    <row r="22" spans="1:18" x14ac:dyDescent="0.2">
      <c r="A22" t="s">
        <v>34</v>
      </c>
      <c r="C22" s="10">
        <v>37668.228000000003</v>
      </c>
      <c r="D22" s="15"/>
      <c r="E22">
        <f t="shared" ref="E22:E63" si="5">+(C22-C$7)/C$8</f>
        <v>-29442.206465820476</v>
      </c>
      <c r="F22">
        <f t="shared" ref="F22:F63" si="6">ROUND(2*E22,0)/2</f>
        <v>-29442</v>
      </c>
      <c r="G22">
        <f t="shared" ref="G22:G63" si="7">+C22-(C$7+F22*C$8)</f>
        <v>-0.10401037999690743</v>
      </c>
      <c r="I22" s="84">
        <f>+G22</f>
        <v>-0.10401037999690743</v>
      </c>
      <c r="O22">
        <f t="shared" ref="O22:O63" ca="1" si="8">+C$11+C$12*$F22</f>
        <v>-0.10278146029979116</v>
      </c>
      <c r="Q22" s="2">
        <f t="shared" ref="Q22:Q63" si="9">+C22-15018.5</f>
        <v>22649.728000000003</v>
      </c>
    </row>
    <row r="23" spans="1:18" x14ac:dyDescent="0.2">
      <c r="A23" t="s">
        <v>34</v>
      </c>
      <c r="C23" s="10">
        <v>37669.224000000002</v>
      </c>
      <c r="D23" s="15"/>
      <c r="E23">
        <f t="shared" si="5"/>
        <v>-29440.229355870473</v>
      </c>
      <c r="F23">
        <f t="shared" si="6"/>
        <v>-29440</v>
      </c>
      <c r="G23">
        <f t="shared" si="7"/>
        <v>-0.11554159999650437</v>
      </c>
      <c r="I23" s="84">
        <f>+G23</f>
        <v>-0.11554159999650437</v>
      </c>
      <c r="O23">
        <f t="shared" ca="1" si="8"/>
        <v>-0.10277529435398064</v>
      </c>
      <c r="Q23" s="2">
        <f t="shared" si="9"/>
        <v>22650.724000000002</v>
      </c>
    </row>
    <row r="24" spans="1:18" x14ac:dyDescent="0.2">
      <c r="A24" t="s">
        <v>34</v>
      </c>
      <c r="C24" s="10">
        <v>37898.455000000002</v>
      </c>
      <c r="D24" s="15"/>
      <c r="E24">
        <f t="shared" si="5"/>
        <v>-28985.194324797194</v>
      </c>
      <c r="F24">
        <f t="shared" si="6"/>
        <v>-28985</v>
      </c>
      <c r="G24">
        <f t="shared" si="7"/>
        <v>-9.7894149992498569E-2</v>
      </c>
      <c r="I24" s="84">
        <f>+G24</f>
        <v>-9.7894149992498569E-2</v>
      </c>
      <c r="O24">
        <f t="shared" ca="1" si="8"/>
        <v>-0.1013725416820912</v>
      </c>
      <c r="Q24" s="2">
        <f t="shared" si="9"/>
        <v>22879.955000000002</v>
      </c>
    </row>
    <row r="25" spans="1:18" x14ac:dyDescent="0.2">
      <c r="A25" t="s">
        <v>34</v>
      </c>
      <c r="C25" s="10">
        <v>37906.516000000003</v>
      </c>
      <c r="D25" s="15"/>
      <c r="E25">
        <f t="shared" si="5"/>
        <v>-28969.192835533166</v>
      </c>
      <c r="F25">
        <f t="shared" si="6"/>
        <v>-28969</v>
      </c>
      <c r="G25">
        <f t="shared" si="7"/>
        <v>-9.7143909995793365E-2</v>
      </c>
      <c r="I25" s="84">
        <f>+G25</f>
        <v>-9.7143909995793365E-2</v>
      </c>
      <c r="O25">
        <f t="shared" ca="1" si="8"/>
        <v>-0.10132321411560719</v>
      </c>
      <c r="Q25" s="2">
        <f t="shared" si="9"/>
        <v>22888.016000000003</v>
      </c>
    </row>
    <row r="26" spans="1:18" x14ac:dyDescent="0.2">
      <c r="A26" t="s">
        <v>34</v>
      </c>
      <c r="C26" s="10">
        <v>37917.584999999999</v>
      </c>
      <c r="D26" s="15"/>
      <c r="E26">
        <f t="shared" si="5"/>
        <v>-28947.220315416133</v>
      </c>
      <c r="F26">
        <f t="shared" si="6"/>
        <v>-28947</v>
      </c>
      <c r="G26">
        <f t="shared" si="7"/>
        <v>-0.11098733000108041</v>
      </c>
      <c r="I26" s="84">
        <f>+G26</f>
        <v>-0.11098733000108041</v>
      </c>
      <c r="O26">
        <f t="shared" ca="1" si="8"/>
        <v>-0.10125538871169165</v>
      </c>
      <c r="Q26" s="2">
        <f t="shared" si="9"/>
        <v>22899.084999999999</v>
      </c>
    </row>
    <row r="27" spans="1:18" x14ac:dyDescent="0.2">
      <c r="A27" t="s">
        <v>34</v>
      </c>
      <c r="C27" s="10">
        <v>37944.557000000001</v>
      </c>
      <c r="D27" s="15"/>
      <c r="E27">
        <f t="shared" si="5"/>
        <v>-28893.679542754016</v>
      </c>
      <c r="F27">
        <f t="shared" si="6"/>
        <v>-28893.5</v>
      </c>
      <c r="G27">
        <f t="shared" si="7"/>
        <v>-9.0447465001489036E-2</v>
      </c>
      <c r="I27" s="84">
        <f>+G27</f>
        <v>-9.0447465001489036E-2</v>
      </c>
      <c r="O27">
        <f t="shared" ca="1" si="8"/>
        <v>-0.10109044966126068</v>
      </c>
      <c r="Q27" s="2">
        <f t="shared" si="9"/>
        <v>22926.057000000001</v>
      </c>
    </row>
    <row r="28" spans="1:18" x14ac:dyDescent="0.2">
      <c r="A28" t="s">
        <v>34</v>
      </c>
      <c r="C28" s="10">
        <v>37964.440999999999</v>
      </c>
      <c r="D28" s="15"/>
      <c r="E28">
        <f t="shared" si="5"/>
        <v>-28854.208805559396</v>
      </c>
      <c r="F28">
        <f t="shared" si="6"/>
        <v>-28854</v>
      </c>
      <c r="G28">
        <f t="shared" si="7"/>
        <v>-0.10518905999924755</v>
      </c>
      <c r="I28" s="84">
        <f>+G28</f>
        <v>-0.10518905999924755</v>
      </c>
      <c r="O28">
        <f t="shared" ca="1" si="8"/>
        <v>-0.10096867223150327</v>
      </c>
      <c r="Q28" s="2">
        <f t="shared" si="9"/>
        <v>22945.940999999999</v>
      </c>
    </row>
    <row r="29" spans="1:18" x14ac:dyDescent="0.2">
      <c r="A29" t="s">
        <v>34</v>
      </c>
      <c r="C29" s="10">
        <v>38348.315999999999</v>
      </c>
      <c r="D29" s="15"/>
      <c r="E29">
        <f t="shared" si="5"/>
        <v>-28092.197678995992</v>
      </c>
      <c r="F29">
        <f t="shared" si="6"/>
        <v>-28092</v>
      </c>
      <c r="G29">
        <f t="shared" si="7"/>
        <v>-9.9583880000864156E-2</v>
      </c>
      <c r="I29" s="84">
        <f>+G29</f>
        <v>-9.9583880000864156E-2</v>
      </c>
      <c r="O29">
        <f t="shared" ca="1" si="8"/>
        <v>-9.8619446877701633E-2</v>
      </c>
      <c r="Q29" s="2">
        <f t="shared" si="9"/>
        <v>23329.815999999999</v>
      </c>
    </row>
    <row r="30" spans="1:18" x14ac:dyDescent="0.2">
      <c r="A30" t="s">
        <v>34</v>
      </c>
      <c r="C30" s="10">
        <v>51052.376799999998</v>
      </c>
      <c r="D30" s="10">
        <v>2.9999999999999997E-4</v>
      </c>
      <c r="E30">
        <f t="shared" si="5"/>
        <v>-2873.999874663933</v>
      </c>
      <c r="F30">
        <f t="shared" si="6"/>
        <v>-2874</v>
      </c>
      <c r="G30">
        <f t="shared" si="7"/>
        <v>6.3140003476291895E-5</v>
      </c>
      <c r="I30" s="84">
        <f>+G30</f>
        <v>6.3140003476291895E-5</v>
      </c>
      <c r="O30">
        <f t="shared" ca="1" si="8"/>
        <v>-2.0873036153069447E-2</v>
      </c>
      <c r="Q30" s="2">
        <f t="shared" si="9"/>
        <v>36033.876799999998</v>
      </c>
    </row>
    <row r="31" spans="1:18" x14ac:dyDescent="0.2">
      <c r="A31" t="s">
        <v>34</v>
      </c>
      <c r="C31" s="10">
        <v>51107.287100000001</v>
      </c>
      <c r="D31" s="10">
        <v>5.0000000000000001E-4</v>
      </c>
      <c r="E31">
        <f t="shared" si="5"/>
        <v>-2765.0001753791744</v>
      </c>
      <c r="F31">
        <f t="shared" si="6"/>
        <v>-2765</v>
      </c>
      <c r="G31">
        <f t="shared" si="7"/>
        <v>-8.8349996076431125E-5</v>
      </c>
      <c r="I31" s="84">
        <f>+G31</f>
        <v>-8.8349996076431125E-5</v>
      </c>
      <c r="O31">
        <f t="shared" ca="1" si="8"/>
        <v>-2.0536992106397034E-2</v>
      </c>
      <c r="Q31" s="2">
        <f t="shared" si="9"/>
        <v>36088.787100000001</v>
      </c>
    </row>
    <row r="32" spans="1:18" x14ac:dyDescent="0.2">
      <c r="A32" t="s">
        <v>34</v>
      </c>
      <c r="C32" s="10">
        <v>51361.436900000001</v>
      </c>
      <c r="D32" s="10">
        <v>1.1000000000000001E-3</v>
      </c>
      <c r="E32">
        <f t="shared" si="5"/>
        <v>-2260.5000766130056</v>
      </c>
      <c r="F32">
        <f t="shared" si="6"/>
        <v>-2260.5</v>
      </c>
      <c r="G32">
        <f t="shared" si="7"/>
        <v>-3.8594997022300959E-5</v>
      </c>
      <c r="I32" s="84">
        <f>+G32</f>
        <v>-3.8594997022300959E-5</v>
      </c>
      <c r="O32">
        <f t="shared" ca="1" si="8"/>
        <v>-1.8981632275697657E-2</v>
      </c>
      <c r="Q32" s="2">
        <f t="shared" si="9"/>
        <v>36342.936900000001</v>
      </c>
    </row>
    <row r="33" spans="1:17" x14ac:dyDescent="0.2">
      <c r="A33" s="83" t="s">
        <v>178</v>
      </c>
      <c r="C33" s="10">
        <v>52500.199099999998</v>
      </c>
      <c r="D33" s="10"/>
      <c r="E33">
        <f t="shared" si="5"/>
        <v>0</v>
      </c>
      <c r="F33">
        <f t="shared" si="6"/>
        <v>0</v>
      </c>
      <c r="G33">
        <f t="shared" si="7"/>
        <v>0</v>
      </c>
      <c r="K33">
        <f>+G33</f>
        <v>0</v>
      </c>
      <c r="O33">
        <f t="shared" ca="1" si="8"/>
        <v>-1.2012572023376654E-2</v>
      </c>
      <c r="Q33" s="2">
        <f t="shared" si="9"/>
        <v>37481.699099999998</v>
      </c>
    </row>
    <row r="34" spans="1:17" x14ac:dyDescent="0.2">
      <c r="A34" s="12" t="s">
        <v>31</v>
      </c>
      <c r="B34" s="13"/>
      <c r="C34" s="14">
        <v>53639.460400000004</v>
      </c>
      <c r="D34" s="14">
        <v>8.9999999999999998E-4</v>
      </c>
      <c r="E34">
        <f t="shared" si="5"/>
        <v>2261.4908151431887</v>
      </c>
      <c r="F34">
        <f t="shared" si="6"/>
        <v>2261.5</v>
      </c>
      <c r="G34">
        <f t="shared" si="7"/>
        <v>-4.6270149978226982E-3</v>
      </c>
      <c r="J34">
        <f>+G34</f>
        <v>-4.6270149978226982E-3</v>
      </c>
      <c r="O34">
        <f t="shared" ca="1" si="8"/>
        <v>-5.0404287981504004E-3</v>
      </c>
      <c r="Q34" s="2">
        <f t="shared" si="9"/>
        <v>38620.960400000004</v>
      </c>
    </row>
    <row r="35" spans="1:17" x14ac:dyDescent="0.2">
      <c r="A35" s="14" t="s">
        <v>42</v>
      </c>
      <c r="B35" s="37" t="s">
        <v>43</v>
      </c>
      <c r="C35" s="14">
        <v>54024.337670000001</v>
      </c>
      <c r="D35" s="14">
        <v>8.0000000000000004E-4</v>
      </c>
      <c r="E35">
        <f t="shared" si="5"/>
        <v>3025.491497921033</v>
      </c>
      <c r="F35">
        <f t="shared" si="6"/>
        <v>3025.5</v>
      </c>
      <c r="G35">
        <f t="shared" si="7"/>
        <v>-4.2830549937207252E-3</v>
      </c>
      <c r="K35">
        <f>+G35</f>
        <v>-4.2830549937207252E-3</v>
      </c>
      <c r="O35">
        <f t="shared" ca="1" si="8"/>
        <v>-2.6850374985382588E-3</v>
      </c>
      <c r="Q35" s="2">
        <f t="shared" si="9"/>
        <v>39005.837670000001</v>
      </c>
    </row>
    <row r="36" spans="1:17" x14ac:dyDescent="0.2">
      <c r="A36" s="55" t="s">
        <v>169</v>
      </c>
      <c r="B36" s="57" t="s">
        <v>43</v>
      </c>
      <c r="C36" s="56">
        <v>54035.41966</v>
      </c>
      <c r="D36" s="56" t="s">
        <v>61</v>
      </c>
      <c r="E36">
        <f t="shared" si="5"/>
        <v>3047.4898038395309</v>
      </c>
      <c r="F36">
        <f t="shared" si="6"/>
        <v>3047.5</v>
      </c>
      <c r="G36">
        <f t="shared" si="7"/>
        <v>-5.1364749961066991E-3</v>
      </c>
      <c r="I36">
        <f>+G36</f>
        <v>-5.1364749961066991E-3</v>
      </c>
      <c r="O36">
        <f t="shared" ca="1" si="8"/>
        <v>-2.6172120946227253E-3</v>
      </c>
      <c r="Q36" s="2">
        <f t="shared" si="9"/>
        <v>39016.91966</v>
      </c>
    </row>
    <row r="37" spans="1:17" x14ac:dyDescent="0.2">
      <c r="A37" s="14" t="s">
        <v>40</v>
      </c>
      <c r="B37" s="30"/>
      <c r="C37" s="10">
        <v>54221.563099999999</v>
      </c>
      <c r="D37" s="10">
        <v>1.2999999999999999E-3</v>
      </c>
      <c r="E37">
        <f t="shared" si="5"/>
        <v>3416.9938674456193</v>
      </c>
      <c r="F37">
        <f t="shared" si="6"/>
        <v>3417</v>
      </c>
      <c r="G37">
        <f t="shared" si="7"/>
        <v>-3.0893699949956499E-3</v>
      </c>
      <c r="J37">
        <f>+G37</f>
        <v>-3.0893699949956499E-3</v>
      </c>
      <c r="O37">
        <f t="shared" ca="1" si="8"/>
        <v>-1.4780536061322989E-3</v>
      </c>
      <c r="Q37" s="2">
        <f t="shared" si="9"/>
        <v>39203.063099999999</v>
      </c>
    </row>
    <row r="38" spans="1:17" x14ac:dyDescent="0.2">
      <c r="A38" s="55" t="s">
        <v>135</v>
      </c>
      <c r="B38" s="57" t="s">
        <v>47</v>
      </c>
      <c r="C38" s="56">
        <v>55045.472500000003</v>
      </c>
      <c r="D38" s="56" t="s">
        <v>61</v>
      </c>
      <c r="E38">
        <f t="shared" si="5"/>
        <v>5052.4953460003071</v>
      </c>
      <c r="F38">
        <f t="shared" si="6"/>
        <v>5052.5</v>
      </c>
      <c r="G38">
        <f t="shared" si="7"/>
        <v>-2.3445249971700832E-3</v>
      </c>
      <c r="I38">
        <f>+G38</f>
        <v>-2.3445249971700832E-3</v>
      </c>
      <c r="O38">
        <f t="shared" ca="1" si="8"/>
        <v>3.5641485804065193E-3</v>
      </c>
      <c r="Q38" s="2">
        <f t="shared" si="9"/>
        <v>40026.972500000003</v>
      </c>
    </row>
    <row r="39" spans="1:17" x14ac:dyDescent="0.2">
      <c r="A39" s="38" t="s">
        <v>46</v>
      </c>
      <c r="B39" s="39" t="s">
        <v>47</v>
      </c>
      <c r="C39" s="40">
        <v>55082.497450000003</v>
      </c>
      <c r="D39" s="40">
        <v>4.0000000000000002E-4</v>
      </c>
      <c r="E39">
        <f t="shared" si="5"/>
        <v>5125.9917285739384</v>
      </c>
      <c r="F39">
        <f t="shared" si="6"/>
        <v>5126</v>
      </c>
      <c r="G39">
        <f t="shared" si="7"/>
        <v>-4.1668599951663055E-3</v>
      </c>
      <c r="K39">
        <f>+G39</f>
        <v>-4.1668599951663055E-3</v>
      </c>
      <c r="O39">
        <f t="shared" ca="1" si="8"/>
        <v>3.7907470889425032E-3</v>
      </c>
      <c r="Q39" s="2">
        <f t="shared" si="9"/>
        <v>40063.997450000003</v>
      </c>
    </row>
    <row r="40" spans="1:17" x14ac:dyDescent="0.2">
      <c r="A40" s="55" t="s">
        <v>148</v>
      </c>
      <c r="B40" s="57" t="s">
        <v>47</v>
      </c>
      <c r="C40" s="56">
        <v>55264.61</v>
      </c>
      <c r="D40" s="56" t="s">
        <v>61</v>
      </c>
      <c r="E40">
        <f t="shared" si="5"/>
        <v>5487.4942733784519</v>
      </c>
      <c r="F40">
        <f t="shared" si="6"/>
        <v>5487.5</v>
      </c>
      <c r="G40">
        <f t="shared" si="7"/>
        <v>-2.8848749934695661E-3</v>
      </c>
      <c r="I40">
        <f>+G40</f>
        <v>-2.8848749934695661E-3</v>
      </c>
      <c r="O40">
        <f t="shared" ca="1" si="8"/>
        <v>4.905241794190919E-3</v>
      </c>
      <c r="Q40" s="2">
        <f t="shared" si="9"/>
        <v>40246.11</v>
      </c>
    </row>
    <row r="41" spans="1:17" x14ac:dyDescent="0.2">
      <c r="A41" s="55" t="s">
        <v>148</v>
      </c>
      <c r="B41" s="57" t="s">
        <v>43</v>
      </c>
      <c r="C41" s="56">
        <v>55393.576800000003</v>
      </c>
      <c r="D41" s="56" t="s">
        <v>61</v>
      </c>
      <c r="E41">
        <f t="shared" si="5"/>
        <v>5743.4998391414701</v>
      </c>
      <c r="F41">
        <f t="shared" si="6"/>
        <v>5743.5</v>
      </c>
      <c r="G41">
        <f t="shared" si="7"/>
        <v>-8.1034995673689991E-5</v>
      </c>
      <c r="I41">
        <f>+G41</f>
        <v>-8.1034995673689991E-5</v>
      </c>
      <c r="O41">
        <f t="shared" ca="1" si="8"/>
        <v>5.6944828579353034E-3</v>
      </c>
      <c r="Q41" s="2">
        <f t="shared" si="9"/>
        <v>40375.076800000003</v>
      </c>
    </row>
    <row r="42" spans="1:17" x14ac:dyDescent="0.2">
      <c r="A42" s="55" t="s">
        <v>158</v>
      </c>
      <c r="B42" s="57" t="s">
        <v>43</v>
      </c>
      <c r="C42" s="56">
        <v>55691.5553</v>
      </c>
      <c r="D42" s="56" t="s">
        <v>61</v>
      </c>
      <c r="E42">
        <f t="shared" si="5"/>
        <v>6335.0021054434465</v>
      </c>
      <c r="F42">
        <f t="shared" si="6"/>
        <v>6335</v>
      </c>
      <c r="G42">
        <f t="shared" si="7"/>
        <v>1.0606499999994412E-3</v>
      </c>
      <c r="I42">
        <f>+G42</f>
        <v>1.0606499999994412E-3</v>
      </c>
      <c r="O42">
        <f t="shared" ca="1" si="8"/>
        <v>7.5180613313915595E-3</v>
      </c>
      <c r="Q42" s="2">
        <f t="shared" si="9"/>
        <v>40673.0553</v>
      </c>
    </row>
    <row r="43" spans="1:17" x14ac:dyDescent="0.2">
      <c r="A43" s="38" t="s">
        <v>48</v>
      </c>
      <c r="B43" s="39" t="s">
        <v>47</v>
      </c>
      <c r="C43" s="40">
        <v>55819.510699999999</v>
      </c>
      <c r="D43" s="40">
        <v>1E-4</v>
      </c>
      <c r="E43">
        <f t="shared" si="5"/>
        <v>6588.9999914841374</v>
      </c>
      <c r="F43">
        <f t="shared" si="6"/>
        <v>6589</v>
      </c>
      <c r="G43">
        <f t="shared" si="7"/>
        <v>-4.2899991967715323E-6</v>
      </c>
      <c r="K43">
        <f>+G43</f>
        <v>-4.2899991967715323E-6</v>
      </c>
      <c r="O43">
        <f t="shared" ca="1" si="8"/>
        <v>8.3011364493254421E-3</v>
      </c>
      <c r="Q43" s="2">
        <f t="shared" si="9"/>
        <v>40801.010699999999</v>
      </c>
    </row>
    <row r="44" spans="1:17" x14ac:dyDescent="0.2">
      <c r="A44" s="40" t="s">
        <v>49</v>
      </c>
      <c r="B44" s="39" t="s">
        <v>47</v>
      </c>
      <c r="C44" s="40">
        <v>56489.5239</v>
      </c>
      <c r="D44" s="40">
        <v>2.5000000000000001E-3</v>
      </c>
      <c r="E44">
        <f t="shared" si="5"/>
        <v>7919.0097950513182</v>
      </c>
      <c r="F44">
        <f t="shared" si="6"/>
        <v>7919</v>
      </c>
      <c r="G44">
        <f t="shared" si="7"/>
        <v>4.9344100043526851E-3</v>
      </c>
      <c r="K44">
        <f>+G44</f>
        <v>4.9344100043526851E-3</v>
      </c>
      <c r="O44">
        <f t="shared" ca="1" si="8"/>
        <v>1.2401490413309929E-2</v>
      </c>
      <c r="Q44" s="2">
        <f t="shared" si="9"/>
        <v>41471.0239</v>
      </c>
    </row>
    <row r="45" spans="1:17" x14ac:dyDescent="0.2">
      <c r="A45" s="68" t="s">
        <v>172</v>
      </c>
      <c r="B45" s="69" t="s">
        <v>43</v>
      </c>
      <c r="C45" s="70">
        <v>56510.429799999998</v>
      </c>
      <c r="D45" s="70">
        <v>2.0000000000000001E-4</v>
      </c>
      <c r="E45">
        <f t="shared" si="5"/>
        <v>7960.5090549948427</v>
      </c>
      <c r="F45">
        <f t="shared" si="6"/>
        <v>7960.5</v>
      </c>
      <c r="G45">
        <f t="shared" si="7"/>
        <v>4.5615950002684258E-3</v>
      </c>
      <c r="K45">
        <f>+G45</f>
        <v>4.5615950002684258E-3</v>
      </c>
      <c r="O45">
        <f t="shared" ca="1" si="8"/>
        <v>1.2529433788877865E-2</v>
      </c>
      <c r="Q45" s="2">
        <f t="shared" si="9"/>
        <v>41491.929799999998</v>
      </c>
    </row>
    <row r="46" spans="1:17" x14ac:dyDescent="0.2">
      <c r="A46" s="62" t="s">
        <v>170</v>
      </c>
      <c r="B46" s="63" t="s">
        <v>43</v>
      </c>
      <c r="C46" s="64">
        <v>57128.555110000001</v>
      </c>
      <c r="D46" s="64">
        <v>1E-4</v>
      </c>
      <c r="E46">
        <f t="shared" si="5"/>
        <v>9187.5187947029644</v>
      </c>
      <c r="F46">
        <f t="shared" si="6"/>
        <v>9187.5</v>
      </c>
      <c r="G46">
        <f t="shared" si="7"/>
        <v>9.468125004786998E-3</v>
      </c>
      <c r="K46">
        <f>+G46</f>
        <v>9.468125004786998E-3</v>
      </c>
      <c r="O46">
        <f t="shared" ca="1" si="8"/>
        <v>1.6312241543621448E-2</v>
      </c>
      <c r="Q46" s="2">
        <f t="shared" si="9"/>
        <v>42110.055110000001</v>
      </c>
    </row>
    <row r="47" spans="1:17" x14ac:dyDescent="0.2">
      <c r="A47" s="65" t="s">
        <v>171</v>
      </c>
      <c r="B47" s="66" t="s">
        <v>47</v>
      </c>
      <c r="C47" s="67">
        <v>57192.281199999998</v>
      </c>
      <c r="D47" s="67">
        <v>1E-4</v>
      </c>
      <c r="E47">
        <f t="shared" si="5"/>
        <v>9314.0182792549094</v>
      </c>
      <c r="F47">
        <f t="shared" si="6"/>
        <v>9314</v>
      </c>
      <c r="G47">
        <f t="shared" si="7"/>
        <v>9.2084600037196651E-3</v>
      </c>
      <c r="K47">
        <f>+G47</f>
        <v>9.2084600037196651E-3</v>
      </c>
      <c r="O47">
        <f t="shared" ca="1" si="8"/>
        <v>1.6702237616135762E-2</v>
      </c>
      <c r="Q47" s="2">
        <f t="shared" si="9"/>
        <v>42173.781199999998</v>
      </c>
    </row>
    <row r="48" spans="1:17" x14ac:dyDescent="0.2">
      <c r="A48" s="62" t="s">
        <v>170</v>
      </c>
      <c r="B48" s="63" t="s">
        <v>43</v>
      </c>
      <c r="C48" s="64">
        <v>57574.392599999999</v>
      </c>
      <c r="D48" s="64">
        <v>4.0000000000000002E-4</v>
      </c>
      <c r="E48">
        <f t="shared" si="5"/>
        <v>10072.52857137271</v>
      </c>
      <c r="F48">
        <f t="shared" si="6"/>
        <v>10072.5</v>
      </c>
      <c r="G48">
        <f t="shared" si="7"/>
        <v>1.4393274999747518E-2</v>
      </c>
      <c r="K48">
        <f>+G48</f>
        <v>1.4393274999747518E-2</v>
      </c>
      <c r="O48">
        <f t="shared" ca="1" si="8"/>
        <v>1.9040672564769021E-2</v>
      </c>
      <c r="Q48" s="2">
        <f t="shared" si="9"/>
        <v>42555.892599999999</v>
      </c>
    </row>
    <row r="49" spans="1:17" x14ac:dyDescent="0.2">
      <c r="A49" s="62" t="s">
        <v>170</v>
      </c>
      <c r="B49" s="63" t="s">
        <v>43</v>
      </c>
      <c r="C49" s="64">
        <v>57574.393539999997</v>
      </c>
      <c r="D49" s="64">
        <v>2.9999999999999997E-4</v>
      </c>
      <c r="E49">
        <f t="shared" si="5"/>
        <v>10072.530437319847</v>
      </c>
      <c r="F49">
        <f t="shared" si="6"/>
        <v>10072.5</v>
      </c>
      <c r="G49">
        <f t="shared" si="7"/>
        <v>1.5333274997828994E-2</v>
      </c>
      <c r="K49">
        <f>+G49</f>
        <v>1.5333274997828994E-2</v>
      </c>
      <c r="O49">
        <f t="shared" ca="1" si="8"/>
        <v>1.9040672564769021E-2</v>
      </c>
      <c r="Q49" s="2">
        <f t="shared" si="9"/>
        <v>42555.893539999997</v>
      </c>
    </row>
    <row r="50" spans="1:17" x14ac:dyDescent="0.2">
      <c r="A50" s="59" t="s">
        <v>0</v>
      </c>
      <c r="B50" s="60" t="s">
        <v>47</v>
      </c>
      <c r="C50" s="61">
        <v>57588.497000000003</v>
      </c>
      <c r="D50" s="61">
        <v>5.0000000000000001E-4</v>
      </c>
      <c r="E50">
        <f t="shared" si="5"/>
        <v>10100.526512716906</v>
      </c>
      <c r="F50">
        <f t="shared" si="6"/>
        <v>10100.5</v>
      </c>
      <c r="G50">
        <f t="shared" si="7"/>
        <v>1.3356195006053895E-2</v>
      </c>
      <c r="K50">
        <f>+G50</f>
        <v>1.3356195006053895E-2</v>
      </c>
      <c r="O50">
        <f t="shared" ca="1" si="8"/>
        <v>1.9126995806116064E-2</v>
      </c>
      <c r="Q50" s="2">
        <f t="shared" si="9"/>
        <v>42569.997000000003</v>
      </c>
    </row>
    <row r="51" spans="1:17" x14ac:dyDescent="0.2">
      <c r="A51" s="79" t="s">
        <v>177</v>
      </c>
      <c r="B51" s="80" t="s">
        <v>47</v>
      </c>
      <c r="C51" s="79">
        <v>58642.639499999997</v>
      </c>
      <c r="D51" s="79">
        <v>3.5000000000000001E-3</v>
      </c>
      <c r="E51">
        <f t="shared" si="5"/>
        <v>12193.052241100777</v>
      </c>
      <c r="F51">
        <f t="shared" si="6"/>
        <v>12193</v>
      </c>
      <c r="G51">
        <f t="shared" si="7"/>
        <v>2.6317269999708515E-2</v>
      </c>
      <c r="K51">
        <f>+G51</f>
        <v>2.6317269999708515E-2</v>
      </c>
      <c r="O51">
        <f t="shared" ca="1" si="8"/>
        <v>2.5578116610354813E-2</v>
      </c>
      <c r="Q51" s="2">
        <f t="shared" si="9"/>
        <v>43624.139499999997</v>
      </c>
    </row>
    <row r="52" spans="1:17" x14ac:dyDescent="0.2">
      <c r="A52" s="79" t="s">
        <v>177</v>
      </c>
      <c r="B52" s="80" t="s">
        <v>47</v>
      </c>
      <c r="C52" s="79">
        <v>58690.499499999998</v>
      </c>
      <c r="D52" s="79">
        <v>3.5000000000000001E-3</v>
      </c>
      <c r="E52">
        <f t="shared" si="5"/>
        <v>12288.056741308721</v>
      </c>
      <c r="F52">
        <f t="shared" si="6"/>
        <v>12288</v>
      </c>
      <c r="G52">
        <f t="shared" si="7"/>
        <v>2.8584320003574248E-2</v>
      </c>
      <c r="K52">
        <f>+G52</f>
        <v>2.8584320003574248E-2</v>
      </c>
      <c r="O52">
        <f t="shared" ca="1" si="8"/>
        <v>2.5870999036353703E-2</v>
      </c>
      <c r="Q52" s="2">
        <f t="shared" si="9"/>
        <v>43671.999499999998</v>
      </c>
    </row>
    <row r="53" spans="1:17" x14ac:dyDescent="0.2">
      <c r="A53" s="79" t="s">
        <v>177</v>
      </c>
      <c r="B53" s="80" t="s">
        <v>47</v>
      </c>
      <c r="C53" s="79">
        <v>58709.640399999997</v>
      </c>
      <c r="D53" s="79">
        <v>3.5000000000000001E-3</v>
      </c>
      <c r="E53">
        <f t="shared" si="5"/>
        <v>12326.05238773643</v>
      </c>
      <c r="F53">
        <f t="shared" si="6"/>
        <v>12326</v>
      </c>
      <c r="G53">
        <f t="shared" si="7"/>
        <v>2.6391139996121638E-2</v>
      </c>
      <c r="K53">
        <f>+G53</f>
        <v>2.6391139996121638E-2</v>
      </c>
      <c r="O53">
        <f t="shared" ca="1" si="8"/>
        <v>2.5988152006753265E-2</v>
      </c>
      <c r="Q53" s="2">
        <f t="shared" si="9"/>
        <v>43691.140399999997</v>
      </c>
    </row>
    <row r="54" spans="1:17" x14ac:dyDescent="0.2">
      <c r="A54" s="79" t="s">
        <v>177</v>
      </c>
      <c r="B54" s="80" t="s">
        <v>47</v>
      </c>
      <c r="C54" s="79">
        <v>58725.505899999996</v>
      </c>
      <c r="D54" s="79">
        <v>3.5000000000000001E-3</v>
      </c>
      <c r="E54">
        <f t="shared" si="5"/>
        <v>12357.54620090085</v>
      </c>
      <c r="F54">
        <f t="shared" si="6"/>
        <v>12357.5</v>
      </c>
      <c r="G54">
        <f t="shared" si="7"/>
        <v>2.3274425002455246E-2</v>
      </c>
      <c r="K54">
        <f>+G54</f>
        <v>2.3274425002455246E-2</v>
      </c>
      <c r="O54">
        <f t="shared" ca="1" si="8"/>
        <v>2.6085265653268686E-2</v>
      </c>
      <c r="Q54" s="2">
        <f t="shared" si="9"/>
        <v>43707.005899999996</v>
      </c>
    </row>
    <row r="55" spans="1:17" x14ac:dyDescent="0.2">
      <c r="A55" s="79" t="s">
        <v>177</v>
      </c>
      <c r="B55" s="80" t="s">
        <v>47</v>
      </c>
      <c r="C55" s="79">
        <v>58750.444499999998</v>
      </c>
      <c r="D55" s="79">
        <v>3.5000000000000001E-3</v>
      </c>
      <c r="E55">
        <f t="shared" si="5"/>
        <v>12407.050572586724</v>
      </c>
      <c r="F55">
        <f t="shared" si="6"/>
        <v>12407</v>
      </c>
      <c r="G55">
        <f t="shared" si="7"/>
        <v>2.5476729999354575E-2</v>
      </c>
      <c r="K55">
        <f>+G55</f>
        <v>2.5476729999354575E-2</v>
      </c>
      <c r="O55">
        <f t="shared" ca="1" si="8"/>
        <v>2.6237872812078636E-2</v>
      </c>
      <c r="Q55" s="2">
        <f t="shared" si="9"/>
        <v>43731.944499999998</v>
      </c>
    </row>
    <row r="56" spans="1:17" x14ac:dyDescent="0.2">
      <c r="A56" s="79" t="s">
        <v>177</v>
      </c>
      <c r="B56" s="80" t="s">
        <v>47</v>
      </c>
      <c r="C56" s="79">
        <v>59063.536500000002</v>
      </c>
      <c r="D56" s="79">
        <v>3.5000000000000001E-3</v>
      </c>
      <c r="E56">
        <f t="shared" si="5"/>
        <v>13028.553894339879</v>
      </c>
      <c r="F56">
        <f t="shared" si="6"/>
        <v>13028.5</v>
      </c>
      <c r="G56">
        <f t="shared" si="7"/>
        <v>2.7150115005497355E-2</v>
      </c>
      <c r="K56">
        <f>+G56</f>
        <v>2.7150115005497355E-2</v>
      </c>
      <c r="O56">
        <f t="shared" ca="1" si="8"/>
        <v>2.8153940472692436E-2</v>
      </c>
      <c r="Q56" s="2">
        <f t="shared" si="9"/>
        <v>44045.036500000002</v>
      </c>
    </row>
    <row r="57" spans="1:17" x14ac:dyDescent="0.2">
      <c r="A57" s="79" t="s">
        <v>177</v>
      </c>
      <c r="B57" s="80" t="s">
        <v>47</v>
      </c>
      <c r="C57" s="79">
        <v>59105.350400000003</v>
      </c>
      <c r="D57" s="79">
        <v>3.5000000000000001E-3</v>
      </c>
      <c r="E57">
        <f t="shared" si="5"/>
        <v>13111.556582832252</v>
      </c>
      <c r="F57">
        <f t="shared" si="6"/>
        <v>13111.5</v>
      </c>
      <c r="G57">
        <f t="shared" si="7"/>
        <v>2.8504485002486035E-2</v>
      </c>
      <c r="K57">
        <f>+G57</f>
        <v>2.8504485002486035E-2</v>
      </c>
      <c r="O57">
        <f t="shared" ca="1" si="8"/>
        <v>2.8409827223828309E-2</v>
      </c>
      <c r="Q57" s="2">
        <f t="shared" si="9"/>
        <v>44086.850400000003</v>
      </c>
    </row>
    <row r="58" spans="1:17" x14ac:dyDescent="0.2">
      <c r="A58" s="79" t="s">
        <v>177</v>
      </c>
      <c r="B58" s="80" t="s">
        <v>47</v>
      </c>
      <c r="C58" s="79">
        <v>59425.496800000001</v>
      </c>
      <c r="D58" s="79">
        <v>3.5000000000000001E-3</v>
      </c>
      <c r="E58">
        <f t="shared" si="5"/>
        <v>13747.063242367822</v>
      </c>
      <c r="F58">
        <f t="shared" si="6"/>
        <v>13747</v>
      </c>
      <c r="G58">
        <f t="shared" si="7"/>
        <v>3.1859330003499053E-2</v>
      </c>
      <c r="K58">
        <f>+G58</f>
        <v>3.1859330003499053E-2</v>
      </c>
      <c r="O58">
        <f t="shared" ca="1" si="8"/>
        <v>3.0369056505115635E-2</v>
      </c>
      <c r="Q58" s="2">
        <f t="shared" si="9"/>
        <v>44406.996800000001</v>
      </c>
    </row>
    <row r="59" spans="1:17" x14ac:dyDescent="0.2">
      <c r="A59" s="79" t="s">
        <v>177</v>
      </c>
      <c r="B59" s="80" t="s">
        <v>47</v>
      </c>
      <c r="C59" s="79">
        <v>59792.495000000003</v>
      </c>
      <c r="D59" s="79">
        <v>3.5000000000000001E-3</v>
      </c>
      <c r="E59">
        <f t="shared" si="5"/>
        <v>14475.573074549502</v>
      </c>
      <c r="F59">
        <f t="shared" si="6"/>
        <v>14475.5</v>
      </c>
      <c r="G59">
        <f t="shared" si="7"/>
        <v>3.6812445003306493E-2</v>
      </c>
      <c r="K59">
        <f>+G59</f>
        <v>3.6812445003306493E-2</v>
      </c>
      <c r="O59">
        <f t="shared" ca="1" si="8"/>
        <v>3.261500226659135E-2</v>
      </c>
      <c r="Q59" s="2">
        <f t="shared" si="9"/>
        <v>44773.995000000003</v>
      </c>
    </row>
    <row r="60" spans="1:17" x14ac:dyDescent="0.2">
      <c r="A60" s="79" t="s">
        <v>177</v>
      </c>
      <c r="B60" s="80" t="s">
        <v>47</v>
      </c>
      <c r="C60" s="79">
        <v>60144.631099999999</v>
      </c>
      <c r="D60" s="79">
        <v>3.5000000000000001E-3</v>
      </c>
      <c r="E60">
        <f t="shared" si="5"/>
        <v>15174.580892887867</v>
      </c>
      <c r="F60">
        <f t="shared" si="6"/>
        <v>15174.5</v>
      </c>
      <c r="G60">
        <f t="shared" si="7"/>
        <v>4.0751054999418557E-2</v>
      </c>
      <c r="K60">
        <f>+G60</f>
        <v>4.0751054999418557E-2</v>
      </c>
      <c r="O60">
        <f t="shared" ca="1" si="8"/>
        <v>3.477000032736214E-2</v>
      </c>
      <c r="Q60" s="2">
        <f t="shared" si="9"/>
        <v>45126.131099999999</v>
      </c>
    </row>
    <row r="61" spans="1:17" x14ac:dyDescent="0.2">
      <c r="A61" s="79" t="s">
        <v>177</v>
      </c>
      <c r="B61" s="80" t="s">
        <v>47</v>
      </c>
      <c r="C61" s="79">
        <v>60173.599600000001</v>
      </c>
      <c r="D61" s="79">
        <v>3.5000000000000001E-3</v>
      </c>
      <c r="E61">
        <f t="shared" si="5"/>
        <v>15232.084818175666</v>
      </c>
      <c r="F61">
        <f t="shared" si="6"/>
        <v>15232</v>
      </c>
      <c r="G61">
        <f t="shared" si="7"/>
        <v>4.2728480002551805E-2</v>
      </c>
      <c r="K61">
        <f>+G61</f>
        <v>4.2728480002551805E-2</v>
      </c>
      <c r="O61">
        <f t="shared" ca="1" si="8"/>
        <v>3.4947271269414104E-2</v>
      </c>
      <c r="Q61" s="2">
        <f t="shared" si="9"/>
        <v>45155.099600000001</v>
      </c>
    </row>
    <row r="62" spans="1:17" x14ac:dyDescent="0.2">
      <c r="A62" s="79" t="s">
        <v>177</v>
      </c>
      <c r="B62" s="80" t="s">
        <v>47</v>
      </c>
      <c r="C62" s="79">
        <v>60185.436800000003</v>
      </c>
      <c r="D62" s="79">
        <v>3.5000000000000001E-3</v>
      </c>
      <c r="E62">
        <f t="shared" si="5"/>
        <v>15255.582253818409</v>
      </c>
      <c r="F62">
        <f t="shared" si="6"/>
        <v>15255.5</v>
      </c>
      <c r="G62">
        <f t="shared" si="7"/>
        <v>4.143664500588784E-2</v>
      </c>
      <c r="K62">
        <f>+G62</f>
        <v>4.143664500588784E-2</v>
      </c>
      <c r="O62">
        <f t="shared" ca="1" si="8"/>
        <v>3.501972113268751E-2</v>
      </c>
      <c r="Q62" s="2">
        <f t="shared" si="9"/>
        <v>45166.936800000003</v>
      </c>
    </row>
    <row r="63" spans="1:17" x14ac:dyDescent="0.2">
      <c r="A63" s="79" t="s">
        <v>177</v>
      </c>
      <c r="B63" s="80" t="s">
        <v>47</v>
      </c>
      <c r="C63" s="79">
        <v>60268.305999999997</v>
      </c>
      <c r="D63" s="79">
        <v>3.5000000000000001E-3</v>
      </c>
      <c r="E63">
        <f t="shared" si="5"/>
        <v>15420.081771758893</v>
      </c>
      <c r="F63">
        <f t="shared" si="6"/>
        <v>15420</v>
      </c>
      <c r="G63">
        <f t="shared" si="7"/>
        <v>4.1193799996108282E-2</v>
      </c>
      <c r="K63">
        <f>+G63</f>
        <v>4.1193799996108282E-2</v>
      </c>
      <c r="O63">
        <f t="shared" ca="1" si="8"/>
        <v>3.5526870175601383E-2</v>
      </c>
      <c r="Q63" s="2">
        <f t="shared" si="9"/>
        <v>45249.805999999997</v>
      </c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V259"/>
  <sheetViews>
    <sheetView workbookViewId="0">
      <pane xSplit="13" ySplit="22" topLeftCell="N32" activePane="bottomRight" state="frozen"/>
      <selection pane="topRight" activeCell="N1" sqref="N1"/>
      <selection pane="bottomLeft" activeCell="A23" sqref="A23"/>
      <selection pane="bottomRight" activeCell="K43" sqref="K43"/>
    </sheetView>
  </sheetViews>
  <sheetFormatPr defaultColWidth="10.28515625" defaultRowHeight="12.75" x14ac:dyDescent="0.2"/>
  <cols>
    <col min="1" max="1" width="17.1406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7.85546875" customWidth="1"/>
    <col min="7" max="7" width="8.140625" style="10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22" ht="20.25" x14ac:dyDescent="0.3">
      <c r="A1" s="1" t="s">
        <v>33</v>
      </c>
    </row>
    <row r="2" spans="1:22" ht="12.95" customHeight="1" x14ac:dyDescent="0.2">
      <c r="A2" t="s">
        <v>24</v>
      </c>
      <c r="B2" t="s">
        <v>32</v>
      </c>
      <c r="C2" s="17" t="s">
        <v>35</v>
      </c>
      <c r="D2" s="3"/>
    </row>
    <row r="3" spans="1:22" ht="12.95" customHeight="1" thickBot="1" x14ac:dyDescent="0.25"/>
    <row r="4" spans="1:22" ht="12.95" customHeight="1" thickTop="1" thickBot="1" x14ac:dyDescent="0.25">
      <c r="A4" s="5" t="s">
        <v>1</v>
      </c>
      <c r="C4" s="8" t="s">
        <v>28</v>
      </c>
      <c r="D4" s="9" t="s">
        <v>28</v>
      </c>
    </row>
    <row r="5" spans="1:22" ht="12.95" customHeight="1" thickTop="1" x14ac:dyDescent="0.2">
      <c r="A5" s="19" t="s">
        <v>36</v>
      </c>
      <c r="B5" s="20"/>
      <c r="C5" s="21">
        <v>-9.5</v>
      </c>
      <c r="D5" s="20" t="s">
        <v>37</v>
      </c>
    </row>
    <row r="6" spans="1:22" ht="12.95" customHeight="1" x14ac:dyDescent="0.2">
      <c r="A6" s="5" t="s">
        <v>2</v>
      </c>
    </row>
    <row r="7" spans="1:22" ht="12.95" customHeight="1" x14ac:dyDescent="0.2">
      <c r="A7" t="s">
        <v>3</v>
      </c>
      <c r="C7" s="11">
        <v>37668.228000000003</v>
      </c>
      <c r="D7" t="s">
        <v>30</v>
      </c>
      <c r="F7">
        <v>52500.199099999998</v>
      </c>
    </row>
    <row r="8" spans="1:22" ht="12.95" customHeight="1" x14ac:dyDescent="0.2">
      <c r="A8" t="s">
        <v>4</v>
      </c>
      <c r="C8" s="11">
        <v>0.67400000000000004</v>
      </c>
      <c r="D8" t="s">
        <v>30</v>
      </c>
      <c r="F8">
        <v>0.50376560999999997</v>
      </c>
      <c r="Q8">
        <v>1.5</v>
      </c>
      <c r="S8">
        <v>2</v>
      </c>
      <c r="U8">
        <v>2.5</v>
      </c>
      <c r="V8">
        <v>3</v>
      </c>
    </row>
    <row r="9" spans="1:22" ht="12.95" customHeight="1" x14ac:dyDescent="0.2">
      <c r="A9" s="34" t="s">
        <v>41</v>
      </c>
      <c r="B9" s="35">
        <v>37</v>
      </c>
      <c r="C9" s="33" t="str">
        <f>"F"&amp;B9</f>
        <v>F37</v>
      </c>
      <c r="D9" s="18" t="str">
        <f>"G"&amp;B9</f>
        <v>G37</v>
      </c>
      <c r="Q9">
        <v>1.3518242994026656E-2</v>
      </c>
      <c r="S9">
        <v>7.5963262923126667E-3</v>
      </c>
      <c r="U9">
        <v>7.4374928894909613E-3</v>
      </c>
      <c r="V9">
        <v>1.3042574621136815E-2</v>
      </c>
    </row>
    <row r="10" spans="1:22" ht="12.95" customHeight="1" thickBot="1" x14ac:dyDescent="0.25">
      <c r="A10" s="20"/>
      <c r="B10" s="20"/>
      <c r="C10" s="4" t="s">
        <v>20</v>
      </c>
      <c r="D10" s="4" t="s">
        <v>21</v>
      </c>
      <c r="E10" s="20"/>
    </row>
    <row r="11" spans="1:22" ht="12.95" customHeight="1" x14ac:dyDescent="0.2">
      <c r="A11" s="20" t="s">
        <v>16</v>
      </c>
      <c r="B11" s="20"/>
      <c r="C11" s="32">
        <f ca="1">INTERCEPT(INDIRECT($D$9):G991,INDIRECT($C$9):F991)</f>
        <v>2.3906617009163433</v>
      </c>
      <c r="D11" s="3"/>
      <c r="E11" s="20"/>
    </row>
    <row r="12" spans="1:22" ht="12.95" customHeight="1" x14ac:dyDescent="0.2">
      <c r="A12" s="20" t="s">
        <v>17</v>
      </c>
      <c r="B12" s="20"/>
      <c r="C12" s="32">
        <f ca="1">SLOPE(INDIRECT($D$9):G991,INDIRECT($C$9):F991)</f>
        <v>-1.5263101033825934E-5</v>
      </c>
      <c r="D12" s="3"/>
      <c r="E12" s="73" t="s">
        <v>176</v>
      </c>
      <c r="F12" s="74" t="s">
        <v>175</v>
      </c>
    </row>
    <row r="13" spans="1:22" ht="12.95" customHeight="1" x14ac:dyDescent="0.2">
      <c r="A13" s="20" t="s">
        <v>19</v>
      </c>
      <c r="B13" s="20"/>
      <c r="C13" s="3" t="s">
        <v>14</v>
      </c>
      <c r="E13" s="71" t="s">
        <v>44</v>
      </c>
      <c r="F13" s="75">
        <v>1</v>
      </c>
    </row>
    <row r="14" spans="1:22" ht="12.95" customHeight="1" x14ac:dyDescent="0.2">
      <c r="A14" s="20"/>
      <c r="B14" s="20"/>
      <c r="C14" s="20"/>
      <c r="E14" s="71" t="s">
        <v>38</v>
      </c>
      <c r="F14" s="76">
        <f ca="1">NOW()+15018.5+$C$5/24</f>
        <v>60544.701172337962</v>
      </c>
    </row>
    <row r="15" spans="1:22" ht="12.95" customHeight="1" x14ac:dyDescent="0.2">
      <c r="A15" s="22" t="s">
        <v>18</v>
      </c>
      <c r="B15" s="20"/>
      <c r="C15" s="23">
        <f ca="1">(C7+C11)+(C8+C12)*INT(MAX(F21:F3532))</f>
        <v>60267.978920449459</v>
      </c>
      <c r="E15" s="71" t="s">
        <v>45</v>
      </c>
      <c r="F15" s="76">
        <f ca="1">ROUND(2*($F$14-$C$7)/$C$8,0)/2+$F$13</f>
        <v>33942.5</v>
      </c>
    </row>
    <row r="16" spans="1:22" ht="12.95" customHeight="1" x14ac:dyDescent="0.2">
      <c r="A16" s="25" t="s">
        <v>5</v>
      </c>
      <c r="B16" s="20"/>
      <c r="C16" s="26">
        <f ca="1">+C8+C12</f>
        <v>0.67398473689896621</v>
      </c>
      <c r="E16" s="71" t="s">
        <v>39</v>
      </c>
      <c r="F16" s="76">
        <f ca="1">ROUND(2*($F$14-$C$15)/$C$16,0)/2+$F$13</f>
        <v>411.5</v>
      </c>
    </row>
    <row r="17" spans="1:21" ht="12.95" customHeight="1" thickBot="1" x14ac:dyDescent="0.25">
      <c r="A17" s="24" t="s">
        <v>29</v>
      </c>
      <c r="B17" s="20"/>
      <c r="C17" s="20">
        <f>COUNT(C21:C2190)</f>
        <v>43</v>
      </c>
      <c r="E17" s="71" t="s">
        <v>173</v>
      </c>
      <c r="F17" s="77">
        <f ca="1">+$C$15+$C$16*$F$16-15018.5-$C$5/24</f>
        <v>45527.219473016718</v>
      </c>
    </row>
    <row r="18" spans="1:21" ht="12.95" customHeight="1" thickTop="1" thickBot="1" x14ac:dyDescent="0.25">
      <c r="A18" s="25" t="s">
        <v>6</v>
      </c>
      <c r="B18" s="20"/>
      <c r="C18" s="28">
        <f ca="1">+C15</f>
        <v>60267.978920449459</v>
      </c>
      <c r="D18" s="29">
        <f ca="1">+C16</f>
        <v>0.67398473689896621</v>
      </c>
      <c r="E18" s="72" t="s">
        <v>174</v>
      </c>
      <c r="F18" s="78">
        <f ca="1">+($C$15+$C$16*$F$16)-($C$16/2)-15018.5-$C$5/24</f>
        <v>45526.882480648266</v>
      </c>
      <c r="S18" t="e">
        <f>#REF!</f>
        <v>#REF!</v>
      </c>
    </row>
    <row r="19" spans="1:21" ht="12.95" customHeight="1" thickTop="1" x14ac:dyDescent="0.2">
      <c r="E19" s="24"/>
      <c r="F19" s="27"/>
      <c r="S19">
        <f ca="1">SUM(S22:S33)</f>
        <v>46.17239925397228</v>
      </c>
    </row>
    <row r="20" spans="1:21" ht="12.95" customHeight="1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58" t="s">
        <v>12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3"/>
      <c r="U20" s="41" t="s">
        <v>50</v>
      </c>
    </row>
    <row r="21" spans="1:21" ht="12.95" customHeight="1" x14ac:dyDescent="0.2">
      <c r="A21" t="s">
        <v>30</v>
      </c>
      <c r="C21" s="10">
        <v>37668.228000000003</v>
      </c>
      <c r="D21" s="10" t="s">
        <v>14</v>
      </c>
      <c r="E21">
        <f>+(C21-C$7)/C$8</f>
        <v>0</v>
      </c>
      <c r="F21">
        <f>ROUND(2*E21,0)/2</f>
        <v>0</v>
      </c>
      <c r="G21" s="10">
        <f>+C21-(C$7+F21*C$8)</f>
        <v>0</v>
      </c>
      <c r="H21">
        <f>+G21</f>
        <v>0</v>
      </c>
      <c r="O21">
        <f ca="1">+C$11+C$12*$F21</f>
        <v>2.3906617009163433</v>
      </c>
      <c r="Q21" s="2">
        <f>+C21-15018.5</f>
        <v>22649.728000000003</v>
      </c>
      <c r="R21" s="2"/>
    </row>
    <row r="22" spans="1:21" ht="12.95" customHeight="1" x14ac:dyDescent="0.2">
      <c r="A22" t="s">
        <v>34</v>
      </c>
      <c r="C22" s="10">
        <v>37668.228000000003</v>
      </c>
      <c r="D22" s="15"/>
      <c r="E22">
        <f>+(C22-C$7)/C$8</f>
        <v>0</v>
      </c>
      <c r="F22">
        <f>ROUND(2*E22,0)/2</f>
        <v>0</v>
      </c>
      <c r="G22" s="10">
        <f>+C22-(C$7+F22*C$8)</f>
        <v>0</v>
      </c>
      <c r="I22">
        <f>+G22</f>
        <v>0</v>
      </c>
      <c r="O22">
        <f ca="1">+C$11+C$12*$F22</f>
        <v>2.3906617009163433</v>
      </c>
      <c r="Q22" s="2">
        <f>+C22-15018.5</f>
        <v>22649.728000000003</v>
      </c>
      <c r="R22" s="2"/>
      <c r="S22">
        <f ca="1">+(O22-G22)^2</f>
        <v>5.7152633682282241</v>
      </c>
    </row>
    <row r="23" spans="1:21" ht="12.95" customHeight="1" x14ac:dyDescent="0.2">
      <c r="A23" t="s">
        <v>34</v>
      </c>
      <c r="C23" s="10">
        <v>37669.224000000002</v>
      </c>
      <c r="D23" s="15"/>
      <c r="E23">
        <f>+(C23-C$7)/C$8</f>
        <v>1.4777448071204526</v>
      </c>
      <c r="F23">
        <f>ROUND(2*E23,0)/2</f>
        <v>1.5</v>
      </c>
      <c r="G23" s="10">
        <f>+C23-(C$7+F23*C$8)</f>
        <v>-1.4999999999417923E-2</v>
      </c>
      <c r="I23">
        <f>+G23</f>
        <v>-1.4999999999417923E-2</v>
      </c>
      <c r="O23">
        <f ca="1">+C$11+C$12*$F23</f>
        <v>2.3906388062647927</v>
      </c>
      <c r="Q23" s="2">
        <f>+C23-15018.5</f>
        <v>22650.724000000002</v>
      </c>
      <c r="R23" s="2"/>
      <c r="S23">
        <f ca="1">+(O23-G23)^2</f>
        <v>5.7870980662042966</v>
      </c>
    </row>
    <row r="24" spans="1:21" ht="12.95" customHeight="1" x14ac:dyDescent="0.2">
      <c r="A24" t="s">
        <v>34</v>
      </c>
      <c r="C24" s="10">
        <v>37898.455000000002</v>
      </c>
      <c r="D24" s="15"/>
      <c r="E24">
        <f>+(C24-C$7)/C$8</f>
        <v>341.58308605341091</v>
      </c>
      <c r="F24">
        <f>ROUND(2*E24,0)/2</f>
        <v>341.5</v>
      </c>
      <c r="G24" s="10">
        <f>+C24-(C$7+F24*C$8)</f>
        <v>5.5999999996856786E-2</v>
      </c>
      <c r="I24">
        <f>+G24</f>
        <v>5.5999999996856786E-2</v>
      </c>
      <c r="O24">
        <f ca="1">+C$11+C$12*$F24</f>
        <v>2.3854493519132918</v>
      </c>
      <c r="Q24" s="2">
        <f>+C24-15018.5</f>
        <v>22879.955000000002</v>
      </c>
      <c r="R24" s="2"/>
      <c r="S24">
        <f ca="1">+(O24-G24)^2</f>
        <v>5.4263342831438992</v>
      </c>
    </row>
    <row r="25" spans="1:21" ht="12.95" customHeight="1" x14ac:dyDescent="0.2">
      <c r="A25" t="s">
        <v>34</v>
      </c>
      <c r="C25" s="10">
        <v>37906.516000000003</v>
      </c>
      <c r="D25" s="15"/>
      <c r="E25">
        <f>+(C25-C$7)/C$8</f>
        <v>353.54302670623213</v>
      </c>
      <c r="F25">
        <f>ROUND(2*E25,0)/2</f>
        <v>353.5</v>
      </c>
      <c r="G25" s="10">
        <f>+C25-(C$7+F25*C$8)</f>
        <v>2.9000000002270099E-2</v>
      </c>
      <c r="I25">
        <f>+G25</f>
        <v>2.9000000002270099E-2</v>
      </c>
      <c r="O25">
        <f ca="1">+C$11+C$12*$F25</f>
        <v>2.3852661947008857</v>
      </c>
      <c r="Q25" s="2">
        <f>+C25-15018.5</f>
        <v>22888.016000000003</v>
      </c>
      <c r="R25" s="2"/>
      <c r="S25">
        <f ca="1">+(O25-G25)^2</f>
        <v>5.5519903802794941</v>
      </c>
    </row>
    <row r="26" spans="1:21" ht="12.95" customHeight="1" x14ac:dyDescent="0.2">
      <c r="A26" t="s">
        <v>34</v>
      </c>
      <c r="C26" s="10">
        <v>37917.584999999999</v>
      </c>
      <c r="D26" s="15"/>
      <c r="E26">
        <f>+(C26-C$7)/C$8</f>
        <v>369.96587537091443</v>
      </c>
      <c r="F26">
        <f>ROUND(2*E26,0)/2</f>
        <v>370</v>
      </c>
      <c r="G26" s="10">
        <f>+C26-(C$7+F26*C$8)</f>
        <v>-2.3000000001047738E-2</v>
      </c>
      <c r="I26">
        <f>+G26</f>
        <v>-2.3000000001047738E-2</v>
      </c>
      <c r="O26">
        <f ca="1">+C$11+C$12*$F26</f>
        <v>2.385014353533828</v>
      </c>
      <c r="Q26" s="2">
        <f>+C26-15018.5</f>
        <v>22899.084999999999</v>
      </c>
      <c r="R26" s="2"/>
      <c r="S26">
        <f ca="1">+(O26-G26)^2</f>
        <v>5.7985331268299856</v>
      </c>
    </row>
    <row r="27" spans="1:21" ht="12.95" customHeight="1" x14ac:dyDescent="0.2">
      <c r="A27" t="s">
        <v>34</v>
      </c>
      <c r="C27" s="10">
        <v>37944.557000000001</v>
      </c>
      <c r="D27" s="15"/>
      <c r="E27">
        <f>+(C27-C$7)/C$8</f>
        <v>409.98367952521943</v>
      </c>
      <c r="F27">
        <f>ROUND(2*E27,0)/2</f>
        <v>410</v>
      </c>
      <c r="G27" s="10">
        <f>+C27-(C$7+F27*C$8)</f>
        <v>-1.0999999998603016E-2</v>
      </c>
      <c r="I27">
        <f>+G27</f>
        <v>-1.0999999998603016E-2</v>
      </c>
      <c r="O27">
        <f ca="1">+C$11+C$12*$F27</f>
        <v>2.3844038294924745</v>
      </c>
      <c r="Q27" s="2">
        <f>+C27-15018.5</f>
        <v>22926.057000000001</v>
      </c>
      <c r="R27" s="2"/>
      <c r="S27">
        <f ca="1">+(O27-G27)^2</f>
        <v>5.7379595063405198</v>
      </c>
    </row>
    <row r="28" spans="1:21" ht="12.95" customHeight="1" x14ac:dyDescent="0.2">
      <c r="A28" t="s">
        <v>34</v>
      </c>
      <c r="C28" s="10">
        <v>37964.440999999999</v>
      </c>
      <c r="D28" s="15"/>
      <c r="E28">
        <f>+(C28-C$7)/C$8</f>
        <v>439.48516320474198</v>
      </c>
      <c r="F28">
        <f>ROUND(2*E28,0)/2</f>
        <v>439.5</v>
      </c>
      <c r="G28" s="10">
        <f>+C28-(C$7+F28*C$8)</f>
        <v>-1.0000000002037268E-2</v>
      </c>
      <c r="I28">
        <f>+G28</f>
        <v>-1.0000000002037268E-2</v>
      </c>
      <c r="O28">
        <f ca="1">+C$11+C$12*$F28</f>
        <v>2.383953568011977</v>
      </c>
      <c r="Q28" s="2">
        <f>+C28-15018.5</f>
        <v>22945.940999999999</v>
      </c>
      <c r="R28" s="2"/>
      <c r="S28">
        <f ca="1">+(O28-G28)^2</f>
        <v>5.7310136858070297</v>
      </c>
    </row>
    <row r="29" spans="1:21" ht="12.95" customHeight="1" x14ac:dyDescent="0.2">
      <c r="A29" t="s">
        <v>34</v>
      </c>
      <c r="C29" s="10">
        <v>38348.315999999999</v>
      </c>
      <c r="D29" s="15"/>
      <c r="E29">
        <f>+(C29-C$7)/C$8</f>
        <v>1009.0326409495491</v>
      </c>
      <c r="F29">
        <f>ROUND(2*E29,0)/2</f>
        <v>1009</v>
      </c>
      <c r="G29" s="10">
        <f>+C29-(C$7+F29*C$8)</f>
        <v>2.1999999997206032E-2</v>
      </c>
      <c r="I29">
        <f>+G29</f>
        <v>2.1999999997206032E-2</v>
      </c>
      <c r="O29">
        <f ca="1">+C$11+C$12*$F29</f>
        <v>2.3752612319732131</v>
      </c>
      <c r="Q29" s="2">
        <f>+C29-15018.5</f>
        <v>23329.815999999999</v>
      </c>
      <c r="R29" s="2"/>
      <c r="S29">
        <f ca="1">+(O29-G29)^2</f>
        <v>5.537838425921235</v>
      </c>
    </row>
    <row r="30" spans="1:21" ht="12.95" customHeight="1" x14ac:dyDescent="0.2">
      <c r="A30" t="s">
        <v>34</v>
      </c>
      <c r="C30" s="10">
        <v>51052.376799999998</v>
      </c>
      <c r="D30" s="10">
        <v>2.9999999999999997E-4</v>
      </c>
      <c r="E30">
        <f>+(C30-C$7)/C$8</f>
        <v>19857.787537091979</v>
      </c>
      <c r="F30" s="16">
        <f>ROUND(2*E30,0)/2-2.5</f>
        <v>19855.5</v>
      </c>
      <c r="G30" s="10">
        <f>+C30-(C$7+F30*C$8)</f>
        <v>1.5417999999917811</v>
      </c>
      <c r="I30">
        <f>+G30</f>
        <v>1.5417999999917811</v>
      </c>
      <c r="O30">
        <f ca="1">+C$11+C$12*$F30</f>
        <v>2.0876051983392125</v>
      </c>
      <c r="Q30" s="2">
        <f>+C30-15018.5</f>
        <v>36033.876799999998</v>
      </c>
      <c r="R30" s="2"/>
      <c r="S30">
        <f ca="1">+(O30-G30)^2</f>
        <v>0.297903314543079</v>
      </c>
    </row>
    <row r="31" spans="1:21" ht="12.95" customHeight="1" x14ac:dyDescent="0.2">
      <c r="A31" t="s">
        <v>34</v>
      </c>
      <c r="C31" s="10">
        <v>51107.287100000001</v>
      </c>
      <c r="D31" s="10">
        <v>5.0000000000000001E-4</v>
      </c>
      <c r="E31">
        <f>+(C31-C$7)/C$8</f>
        <v>19939.256824925811</v>
      </c>
      <c r="F31" s="16">
        <f>ROUND(2*E31,0)/2-2.5</f>
        <v>19937</v>
      </c>
      <c r="G31" s="10">
        <f>+C31-(C$7+F31*C$8)</f>
        <v>1.5210999999981141</v>
      </c>
      <c r="I31">
        <f>+G31</f>
        <v>1.5210999999981141</v>
      </c>
      <c r="O31">
        <f ca="1">+C$11+C$12*$F31</f>
        <v>2.0863612556049556</v>
      </c>
      <c r="Q31" s="2">
        <f>+C31-15018.5</f>
        <v>36088.787100000001</v>
      </c>
      <c r="R31" s="2"/>
      <c r="S31">
        <f ca="1">+(O31-G31)^2</f>
        <v>0.31952028709022301</v>
      </c>
    </row>
    <row r="32" spans="1:21" ht="12.95" customHeight="1" x14ac:dyDescent="0.2">
      <c r="A32" t="s">
        <v>34</v>
      </c>
      <c r="C32" s="10">
        <v>51361.436900000001</v>
      </c>
      <c r="D32" s="10">
        <v>1.1000000000000001E-3</v>
      </c>
      <c r="E32">
        <f>+(C32-C$7)/C$8</f>
        <v>20316.333679525218</v>
      </c>
      <c r="F32" s="16">
        <f>ROUND(2*E32,0)/2-2.5</f>
        <v>20314</v>
      </c>
      <c r="G32" s="10">
        <f>+C32-(C$7+F32*C$8)</f>
        <v>1.5728999999992084</v>
      </c>
      <c r="I32">
        <f>+G32</f>
        <v>1.5728999999992084</v>
      </c>
      <c r="O32">
        <f ca="1">+C$11+C$12*$F32</f>
        <v>2.0806070665152032</v>
      </c>
      <c r="Q32" s="2">
        <f>+C32-15018.5</f>
        <v>36342.936900000001</v>
      </c>
      <c r="R32" s="2"/>
      <c r="S32">
        <f ca="1">+(O32-G32)^2</f>
        <v>0.25776646539027681</v>
      </c>
    </row>
    <row r="33" spans="1:19" ht="12.95" customHeight="1" x14ac:dyDescent="0.2">
      <c r="A33" s="83" t="s">
        <v>178</v>
      </c>
      <c r="C33" s="10">
        <v>52500.199099999998</v>
      </c>
      <c r="D33" s="10"/>
      <c r="E33">
        <f>+(C33-C$7)/C$8</f>
        <v>22005.891839762604</v>
      </c>
      <c r="F33" s="31">
        <f>ROUND(2*E33,0)/2-3</f>
        <v>22003</v>
      </c>
      <c r="G33" s="10">
        <f>+C33-(C$7+F33*C$8)</f>
        <v>1.9490999999979977</v>
      </c>
      <c r="K33">
        <f>+G33</f>
        <v>1.9490999999979977</v>
      </c>
      <c r="O33">
        <f ca="1">+C$11+C$12*$F33</f>
        <v>2.0548276888690715</v>
      </c>
      <c r="Q33" s="2">
        <f>+C33-15018.5</f>
        <v>37481.699099999998</v>
      </c>
      <c r="R33" s="2"/>
      <c r="S33">
        <f ca="1">+(O33-G33)^2</f>
        <v>1.1178344194018596E-2</v>
      </c>
    </row>
    <row r="34" spans="1:19" ht="12.95" customHeight="1" x14ac:dyDescent="0.2">
      <c r="A34" s="12" t="s">
        <v>31</v>
      </c>
      <c r="B34" s="13"/>
      <c r="C34" s="14">
        <v>53639.460400000004</v>
      </c>
      <c r="D34" s="14">
        <v>8.9999999999999998E-4</v>
      </c>
      <c r="E34">
        <f>+(C34-C$7)/C$8</f>
        <v>23696.190504451039</v>
      </c>
      <c r="F34" s="16">
        <f>ROUND(2*E34,0)/2-2.5</f>
        <v>23693.5</v>
      </c>
      <c r="G34" s="10">
        <f>+C34-(C$7+F34*C$8)</f>
        <v>1.813399999999092</v>
      </c>
      <c r="J34">
        <f>+G34</f>
        <v>1.813399999999092</v>
      </c>
      <c r="O34">
        <f ca="1">+C$11+C$12*$F34</f>
        <v>2.0290254165713888</v>
      </c>
      <c r="Q34" s="2">
        <f>+C34-15018.5</f>
        <v>38620.960400000004</v>
      </c>
      <c r="R34" s="2"/>
      <c r="S34">
        <f ca="1">+(O34-G34)^2</f>
        <v>4.6494320271976544E-2</v>
      </c>
    </row>
    <row r="35" spans="1:19" x14ac:dyDescent="0.2">
      <c r="A35" s="14" t="s">
        <v>42</v>
      </c>
      <c r="B35" s="37" t="s">
        <v>43</v>
      </c>
      <c r="C35" s="14">
        <v>54024.337670000001</v>
      </c>
      <c r="D35" s="14">
        <v>8.0000000000000004E-4</v>
      </c>
      <c r="E35">
        <f>+(C35-C$7)/C$8</f>
        <v>24267.225029673587</v>
      </c>
      <c r="F35" s="31">
        <f>ROUND(2*E35,0)/2-3</f>
        <v>24264</v>
      </c>
      <c r="G35" s="18">
        <v>2.1736699999964912</v>
      </c>
      <c r="K35">
        <f>+G35</f>
        <v>2.1736699999964912</v>
      </c>
      <c r="O35">
        <f ca="1">+C$11+C$12*$F35</f>
        <v>2.0203178174315908</v>
      </c>
      <c r="Q35" s="2">
        <f>+C35-15018.5</f>
        <v>39005.837670000001</v>
      </c>
      <c r="R35" s="2"/>
      <c r="S35" t="e">
        <f ca="1">+(O35-#REF!)^2</f>
        <v>#REF!</v>
      </c>
    </row>
    <row r="36" spans="1:19" x14ac:dyDescent="0.2">
      <c r="A36" s="55" t="s">
        <v>169</v>
      </c>
      <c r="B36" s="57" t="s">
        <v>43</v>
      </c>
      <c r="C36" s="56">
        <v>54035.41966</v>
      </c>
      <c r="D36" s="56" t="s">
        <v>61</v>
      </c>
      <c r="E36">
        <f>+(C36-C$7)/C$8</f>
        <v>24283.667151335307</v>
      </c>
      <c r="F36" s="31">
        <f>ROUND(2*E36,0)/2-3</f>
        <v>24280.5</v>
      </c>
      <c r="G36" s="10">
        <f>+C36-(C$7+F36*C$8)</f>
        <v>2.1346599999960745</v>
      </c>
      <c r="I36">
        <f>+G36</f>
        <v>2.1346599999960745</v>
      </c>
      <c r="O36">
        <f ca="1">+C$11+C$12*$F36</f>
        <v>2.0200659762645325</v>
      </c>
      <c r="Q36" s="2">
        <f>+C36-15018.5</f>
        <v>39016.91966</v>
      </c>
      <c r="R36" s="2"/>
      <c r="S36">
        <f ca="1">+(O36-G36)^2</f>
        <v>1.3131790274985195E-2</v>
      </c>
    </row>
    <row r="37" spans="1:19" x14ac:dyDescent="0.2">
      <c r="A37" s="14" t="s">
        <v>40</v>
      </c>
      <c r="B37" s="30"/>
      <c r="C37" s="10">
        <v>54221.563099999999</v>
      </c>
      <c r="D37" s="10">
        <v>1.2999999999999999E-3</v>
      </c>
      <c r="E37">
        <f>+(C37-C$7)/C$8</f>
        <v>24559.844362017797</v>
      </c>
      <c r="F37" s="31">
        <f>ROUND(2*E37,0)/2-3</f>
        <v>24557</v>
      </c>
      <c r="G37" s="10">
        <f>+C37-(C$7+F37*C$8)</f>
        <v>1.9170999999914784</v>
      </c>
      <c r="J37">
        <f>+G37</f>
        <v>1.9170999999914784</v>
      </c>
      <c r="O37">
        <f ca="1">+C$11+C$12*$F37</f>
        <v>2.0158457288286797</v>
      </c>
      <c r="Q37" s="2">
        <f>+C37-15018.5</f>
        <v>39203.063099999999</v>
      </c>
      <c r="R37" s="2"/>
      <c r="S37">
        <f ca="1">+(O37-G37)^2</f>
        <v>9.7507189635900968E-3</v>
      </c>
    </row>
    <row r="38" spans="1:19" x14ac:dyDescent="0.2">
      <c r="A38" s="55" t="s">
        <v>135</v>
      </c>
      <c r="B38" s="57" t="s">
        <v>47</v>
      </c>
      <c r="C38" s="56">
        <v>55045.472500000003</v>
      </c>
      <c r="D38" s="56" t="s">
        <v>61</v>
      </c>
      <c r="E38">
        <f>+(C38-C$7)/C$8</f>
        <v>25782.261869436203</v>
      </c>
      <c r="F38" s="31">
        <f>ROUND(2*E38,0)/2-3</f>
        <v>25779.5</v>
      </c>
      <c r="G38" s="10">
        <f>+C38-(C$7+F38*C$8)</f>
        <v>1.8614999999990687</v>
      </c>
      <c r="I38">
        <f>+G38</f>
        <v>1.8614999999990687</v>
      </c>
      <c r="O38">
        <f ca="1">+C$11+C$12*$F38</f>
        <v>1.9971865878148276</v>
      </c>
      <c r="Q38" s="2">
        <f>+C38-15018.5</f>
        <v>40026.972500000003</v>
      </c>
      <c r="R38" s="2"/>
      <c r="S38">
        <f ca="1">+(O38-G38)^2</f>
        <v>1.841085011308366E-2</v>
      </c>
    </row>
    <row r="39" spans="1:19" x14ac:dyDescent="0.2">
      <c r="A39" s="38" t="s">
        <v>46</v>
      </c>
      <c r="B39" s="39" t="s">
        <v>47</v>
      </c>
      <c r="C39" s="40">
        <v>55082.497450000003</v>
      </c>
      <c r="D39" s="40">
        <v>4.0000000000000002E-4</v>
      </c>
      <c r="E39">
        <f>+(C39-C$7)/C$8</f>
        <v>25837.195029673589</v>
      </c>
      <c r="F39" s="31">
        <f>ROUND(2*E39,0)/2-3</f>
        <v>25834</v>
      </c>
      <c r="G39" s="10">
        <f>+C39-(C$7+F39*C$8)</f>
        <v>2.1534499999979744</v>
      </c>
      <c r="K39" s="36">
        <f>G39</f>
        <v>2.1534499999979744</v>
      </c>
      <c r="O39">
        <f ca="1">+C$11+C$12*$F39</f>
        <v>1.9963547488084841</v>
      </c>
      <c r="Q39" s="2">
        <f>+C39-15018.5</f>
        <v>40063.997450000003</v>
      </c>
      <c r="R39" s="2"/>
      <c r="S39">
        <f ca="1">+(O39-G39)^2</f>
        <v>2.4678917946289056E-2</v>
      </c>
    </row>
    <row r="40" spans="1:19" x14ac:dyDescent="0.2">
      <c r="A40" s="55" t="s">
        <v>148</v>
      </c>
      <c r="B40" s="57" t="s">
        <v>47</v>
      </c>
      <c r="C40" s="56">
        <v>55264.61</v>
      </c>
      <c r="D40" s="56" t="s">
        <v>61</v>
      </c>
      <c r="E40">
        <f>+(C40-C$7)/C$8</f>
        <v>26107.391691394652</v>
      </c>
      <c r="F40" s="31">
        <f>ROUND(2*E40,0)/2-3</f>
        <v>26104.5</v>
      </c>
      <c r="G40" s="10">
        <f>+C40-(C$7+F40*C$8)</f>
        <v>1.9489999999932479</v>
      </c>
      <c r="I40">
        <f>+G40</f>
        <v>1.9489999999932479</v>
      </c>
      <c r="O40">
        <f ca="1">+C$11+C$12*$F40</f>
        <v>1.9922260799788343</v>
      </c>
      <c r="Q40" s="2">
        <f>+C40-15018.5</f>
        <v>40246.11</v>
      </c>
      <c r="R40" s="2"/>
      <c r="S40">
        <f ca="1">+(O40-G40)^2</f>
        <v>1.8684939909203099E-3</v>
      </c>
    </row>
    <row r="41" spans="1:19" x14ac:dyDescent="0.2">
      <c r="A41" s="55" t="s">
        <v>148</v>
      </c>
      <c r="B41" s="57" t="s">
        <v>43</v>
      </c>
      <c r="C41" s="56">
        <v>55393.576800000003</v>
      </c>
      <c r="D41" s="56" t="s">
        <v>61</v>
      </c>
      <c r="E41">
        <f>+(C41-C$7)/C$8</f>
        <v>26298.737091988129</v>
      </c>
      <c r="F41" s="31">
        <f>ROUND(2*E41,0)/2-3</f>
        <v>26295.5</v>
      </c>
      <c r="G41" s="10">
        <f>+C41-(C$7+F41*C$8)</f>
        <v>2.181799999998475</v>
      </c>
      <c r="I41">
        <f>+G41</f>
        <v>2.181799999998475</v>
      </c>
      <c r="O41">
        <f ca="1">+C$11+C$12*$F41</f>
        <v>1.9893108276813734</v>
      </c>
      <c r="Q41" s="2">
        <f>+C41-15018.5</f>
        <v>40375.076800000003</v>
      </c>
      <c r="R41" s="2"/>
      <c r="S41">
        <f ca="1">+(O41-G41)^2</f>
        <v>3.7052081459322837E-2</v>
      </c>
    </row>
    <row r="42" spans="1:19" x14ac:dyDescent="0.2">
      <c r="A42" s="55" t="s">
        <v>158</v>
      </c>
      <c r="B42" s="57" t="s">
        <v>43</v>
      </c>
      <c r="C42" s="56">
        <v>55691.5553</v>
      </c>
      <c r="D42" s="56" t="s">
        <v>61</v>
      </c>
      <c r="E42">
        <f>+(C42-C$7)/C$8</f>
        <v>26740.841691394653</v>
      </c>
      <c r="F42" s="31">
        <f>ROUND(2*E42,0)/2-3</f>
        <v>26738</v>
      </c>
      <c r="G42" s="10">
        <f>+C42-(C$7+F42*C$8)</f>
        <v>1.9153000000005704</v>
      </c>
      <c r="I42">
        <f>+G42</f>
        <v>1.9153000000005704</v>
      </c>
      <c r="O42">
        <f ca="1">+C$11+C$12*$F42</f>
        <v>1.9825569054739054</v>
      </c>
      <c r="Q42" s="2">
        <f>+C42-15018.5</f>
        <v>40673.0553</v>
      </c>
      <c r="R42" s="2"/>
      <c r="S42">
        <f ca="1">+(O42-G42)^2</f>
        <v>4.5234913338491143E-3</v>
      </c>
    </row>
    <row r="43" spans="1:19" x14ac:dyDescent="0.2">
      <c r="A43" s="38" t="s">
        <v>48</v>
      </c>
      <c r="B43" s="39" t="s">
        <v>47</v>
      </c>
      <c r="C43" s="40">
        <v>55819.510699999999</v>
      </c>
      <c r="D43" s="40">
        <v>1E-4</v>
      </c>
      <c r="E43">
        <f>+(C43-C$7)/C$8</f>
        <v>26930.686498516312</v>
      </c>
      <c r="F43" s="31">
        <f>ROUND(2*E43,0)/2-3</f>
        <v>26927.5</v>
      </c>
      <c r="G43" s="10">
        <f>+C43-(C$7+F43*C$8)</f>
        <v>2.1476999999940745</v>
      </c>
      <c r="K43">
        <f>+G43</f>
        <v>2.1476999999940745</v>
      </c>
      <c r="O43">
        <f ca="1">+C$11+C$12*$F43</f>
        <v>1.9796645478279955</v>
      </c>
      <c r="Q43" s="2">
        <f>+C43-15018.5</f>
        <v>40801.010699999999</v>
      </c>
      <c r="R43" s="2"/>
      <c r="S43">
        <f ca="1">+(O43-G43)^2</f>
        <v>2.8235913184658609E-2</v>
      </c>
    </row>
    <row r="44" spans="1:19" x14ac:dyDescent="0.2">
      <c r="A44" s="40" t="s">
        <v>49</v>
      </c>
      <c r="B44" s="39" t="s">
        <v>47</v>
      </c>
      <c r="C44" s="40">
        <v>56489.5239</v>
      </c>
      <c r="D44" s="40">
        <v>2.5000000000000001E-3</v>
      </c>
      <c r="E44">
        <f>+(C44-C$7)/C$8</f>
        <v>27924.771364985158</v>
      </c>
      <c r="F44" s="31">
        <f>ROUND(2*E44,0)/2-3</f>
        <v>27922</v>
      </c>
      <c r="G44">
        <f>+C44-(C$7+F44*C$8)</f>
        <v>1.8678999999974621</v>
      </c>
      <c r="K44">
        <f>+G44</f>
        <v>1.8678999999974621</v>
      </c>
      <c r="O44">
        <f ca="1">+C$11+C$12*$F44</f>
        <v>1.9644853938498557</v>
      </c>
      <c r="Q44" s="2">
        <f>+C44-15018.5</f>
        <v>41471.0239</v>
      </c>
      <c r="R44" s="2"/>
      <c r="S44">
        <f ca="1">+(O44-G44)^2</f>
        <v>9.3287383056219735E-3</v>
      </c>
    </row>
    <row r="45" spans="1:19" x14ac:dyDescent="0.2">
      <c r="A45" s="68" t="s">
        <v>172</v>
      </c>
      <c r="B45" s="69" t="s">
        <v>43</v>
      </c>
      <c r="C45" s="70">
        <v>56510.429799999998</v>
      </c>
      <c r="D45" s="70">
        <v>2.0000000000000001E-4</v>
      </c>
      <c r="E45">
        <f>+(C45-C$7)/C$8</f>
        <v>27955.789020771506</v>
      </c>
      <c r="F45" s="31">
        <f>ROUND(2*E45,0)/2-3</f>
        <v>27953</v>
      </c>
      <c r="G45" s="10">
        <f>+C45-(C$7+F45*C$8)</f>
        <v>1.8797999999951571</v>
      </c>
      <c r="K45">
        <f>+G45</f>
        <v>1.8797999999951571</v>
      </c>
      <c r="O45">
        <f ca="1">+C$11+C$12*$F45</f>
        <v>1.9640122377178071</v>
      </c>
      <c r="Q45" s="2">
        <f>+C45-15018.5</f>
        <v>41491.929799999998</v>
      </c>
      <c r="R45" s="2"/>
      <c r="S45">
        <f ca="1">+(O45-G45)^2</f>
        <v>7.0917009822561092E-3</v>
      </c>
    </row>
    <row r="46" spans="1:19" x14ac:dyDescent="0.2">
      <c r="A46" s="62" t="s">
        <v>170</v>
      </c>
      <c r="B46" s="63" t="s">
        <v>43</v>
      </c>
      <c r="C46" s="64">
        <v>57128.555110000001</v>
      </c>
      <c r="D46" s="64">
        <v>1E-4</v>
      </c>
      <c r="E46">
        <f>+(C46-C$7)/C$8</f>
        <v>28872.888887240351</v>
      </c>
      <c r="F46" s="31">
        <f>ROUND(2*E46,0)/2-3</f>
        <v>28870</v>
      </c>
      <c r="G46" s="10">
        <f>+C46-(C$7+F46*C$8)</f>
        <v>1.9471099999936996</v>
      </c>
      <c r="K46">
        <f>+G46</f>
        <v>1.9471099999936996</v>
      </c>
      <c r="O46">
        <f ca="1">+C$11+C$12*$F46</f>
        <v>1.9500159740697887</v>
      </c>
      <c r="Q46" s="2">
        <f>+C46-15018.5</f>
        <v>42110.055110000001</v>
      </c>
      <c r="R46" s="2"/>
      <c r="S46">
        <f ca="1">+(O46-G46)^2</f>
        <v>8.4446853309016502E-6</v>
      </c>
    </row>
    <row r="47" spans="1:19" x14ac:dyDescent="0.2">
      <c r="A47" s="65" t="s">
        <v>171</v>
      </c>
      <c r="B47" s="66" t="s">
        <v>47</v>
      </c>
      <c r="C47" s="67">
        <v>57192.281199999998</v>
      </c>
      <c r="D47" s="67">
        <v>1E-4</v>
      </c>
      <c r="E47">
        <f>+(C47-C$7)/C$8</f>
        <v>28967.437982195836</v>
      </c>
      <c r="F47" s="31">
        <f>ROUND(2*E47,0)/2-3</f>
        <v>28964.5</v>
      </c>
      <c r="G47" s="10">
        <f>+C47-(C$7+F47*C$8)</f>
        <v>1.980199999990873</v>
      </c>
      <c r="K47">
        <f>+G47</f>
        <v>1.980199999990873</v>
      </c>
      <c r="O47">
        <f ca="1">+C$11+C$12*$F47</f>
        <v>1.9485736110220921</v>
      </c>
      <c r="Q47" s="2">
        <f>+C47-15018.5</f>
        <v>42173.781199999998</v>
      </c>
      <c r="R47" s="2"/>
      <c r="S47">
        <f ca="1">+(O47-G47)^2</f>
        <v>1.0002284792046258E-3</v>
      </c>
    </row>
    <row r="48" spans="1:19" x14ac:dyDescent="0.2">
      <c r="A48" s="62" t="s">
        <v>170</v>
      </c>
      <c r="B48" s="63" t="s">
        <v>43</v>
      </c>
      <c r="C48" s="64">
        <v>57574.392599999999</v>
      </c>
      <c r="D48" s="64">
        <v>4.0000000000000002E-4</v>
      </c>
      <c r="E48">
        <f>+(C48-C$7)/C$8</f>
        <v>29534.368842729964</v>
      </c>
      <c r="F48" s="31">
        <f>ROUND(2*E48,0)/2-3</f>
        <v>29531.5</v>
      </c>
      <c r="G48" s="10">
        <f>+C48-(C$7+F48*C$8)</f>
        <v>1.9335999999966589</v>
      </c>
      <c r="K48">
        <f>+G48</f>
        <v>1.9335999999966589</v>
      </c>
      <c r="O48">
        <f ca="1">+C$11+C$12*$F48</f>
        <v>1.9399194327359128</v>
      </c>
      <c r="Q48" s="2">
        <f>+C48-15018.5</f>
        <v>42555.892599999999</v>
      </c>
      <c r="R48" s="2"/>
      <c r="S48">
        <f ca="1">+(O48-G48)^2</f>
        <v>3.9935230145954679E-5</v>
      </c>
    </row>
    <row r="49" spans="1:19" x14ac:dyDescent="0.2">
      <c r="A49" s="62" t="s">
        <v>170</v>
      </c>
      <c r="B49" s="63" t="s">
        <v>43</v>
      </c>
      <c r="C49" s="64">
        <v>57574.393539999997</v>
      </c>
      <c r="D49" s="64">
        <v>2.9999999999999997E-4</v>
      </c>
      <c r="E49">
        <f>+(C49-C$7)/C$8</f>
        <v>29534.370237388714</v>
      </c>
      <c r="F49" s="31">
        <f>ROUND(2*E49,0)/2-3</f>
        <v>29531.5</v>
      </c>
      <c r="G49" s="10">
        <f>+C49-(C$7+F49*C$8)</f>
        <v>1.9345399999947404</v>
      </c>
      <c r="K49">
        <f>+G49</f>
        <v>1.9345399999947404</v>
      </c>
      <c r="O49">
        <f ca="1">+C$11+C$12*$F49</f>
        <v>1.9399194327359128</v>
      </c>
      <c r="Q49" s="2">
        <f>+C49-15018.5</f>
        <v>42555.893539999997</v>
      </c>
      <c r="R49" s="2"/>
      <c r="S49">
        <f ca="1">+(O49-G49)^2</f>
        <v>2.8938296616798397E-5</v>
      </c>
    </row>
    <row r="50" spans="1:19" x14ac:dyDescent="0.2">
      <c r="A50" s="59" t="s">
        <v>0</v>
      </c>
      <c r="B50" s="60" t="s">
        <v>47</v>
      </c>
      <c r="C50" s="61">
        <v>57588.497000000003</v>
      </c>
      <c r="D50" s="61">
        <v>5.0000000000000001E-4</v>
      </c>
      <c r="E50">
        <f>+(C50-C$7)/C$8</f>
        <v>29555.295252225518</v>
      </c>
      <c r="F50" s="31">
        <f>ROUND(2*E50,0)/2-3</f>
        <v>29552.5</v>
      </c>
      <c r="G50" s="10">
        <f>+C50-(C$7+F50*C$8)</f>
        <v>1.8839999999981956</v>
      </c>
      <c r="K50">
        <f>+G50</f>
        <v>1.8839999999981956</v>
      </c>
      <c r="O50">
        <f ca="1">+C$11+C$12*$F50</f>
        <v>1.9395989076142024</v>
      </c>
      <c r="Q50" s="2">
        <f>+C50-15018.5</f>
        <v>42569.997000000003</v>
      </c>
      <c r="R50" s="2"/>
      <c r="S50">
        <f ca="1">+(O50-G50)^2</f>
        <v>3.0912385280932623E-3</v>
      </c>
    </row>
    <row r="51" spans="1:19" x14ac:dyDescent="0.2">
      <c r="A51" s="79" t="s">
        <v>177</v>
      </c>
      <c r="B51" s="80" t="s">
        <v>47</v>
      </c>
      <c r="C51" s="79">
        <v>58642.639499999997</v>
      </c>
      <c r="D51" s="79">
        <v>3.5000000000000001E-3</v>
      </c>
      <c r="E51">
        <f>+(C51-C$7)/C$8</f>
        <v>31119.304896142425</v>
      </c>
      <c r="F51" s="31">
        <f>ROUND(2*E51,0)/2-3</f>
        <v>31116.5</v>
      </c>
      <c r="G51" s="10">
        <f>+C51-(C$7+F51*C$8)</f>
        <v>1.8904999999940628</v>
      </c>
      <c r="K51">
        <f>+G51</f>
        <v>1.8904999999940628</v>
      </c>
      <c r="O51">
        <f ca="1">+C$11+C$12*$F51</f>
        <v>1.9157274175972987</v>
      </c>
      <c r="Q51" s="2">
        <f>+C51-15018.5</f>
        <v>43624.139499999997</v>
      </c>
      <c r="R51" s="2"/>
      <c r="S51">
        <f ca="1">+(O51-G51)^2</f>
        <v>6.3642259892805557E-4</v>
      </c>
    </row>
    <row r="52" spans="1:19" x14ac:dyDescent="0.2">
      <c r="A52" s="79" t="s">
        <v>177</v>
      </c>
      <c r="B52" s="80" t="s">
        <v>47</v>
      </c>
      <c r="C52" s="79">
        <v>58690.499499999998</v>
      </c>
      <c r="D52" s="79">
        <v>3.5000000000000001E-3</v>
      </c>
      <c r="E52">
        <f>+(C52-C$7)/C$8</f>
        <v>31190.313798219577</v>
      </c>
      <c r="F52" s="31">
        <f>ROUND(2*E52,0)/2-3</f>
        <v>31187.5</v>
      </c>
      <c r="G52" s="10">
        <f>+C52-(C$7+F52*C$8)</f>
        <v>1.8964999999952852</v>
      </c>
      <c r="K52">
        <f>+G52</f>
        <v>1.8964999999952852</v>
      </c>
      <c r="O52">
        <f ca="1">+C$11+C$12*$F52</f>
        <v>1.9146437374238969</v>
      </c>
      <c r="Q52" s="2">
        <f>+C52-15018.5</f>
        <v>43671.999499999998</v>
      </c>
      <c r="R52" s="2"/>
      <c r="S52">
        <f ca="1">+(O52-G52)^2</f>
        <v>3.2919520787840693E-4</v>
      </c>
    </row>
    <row r="53" spans="1:19" x14ac:dyDescent="0.2">
      <c r="A53" s="79" t="s">
        <v>177</v>
      </c>
      <c r="B53" s="80" t="s">
        <v>47</v>
      </c>
      <c r="C53" s="79">
        <v>58709.640399999997</v>
      </c>
      <c r="D53" s="79">
        <v>3.5000000000000001E-3</v>
      </c>
      <c r="E53">
        <f>+(C53-C$7)/C$8</f>
        <v>31218.712759643906</v>
      </c>
      <c r="F53" s="31">
        <f>ROUND(2*E53,0)/2-3</f>
        <v>31215.5</v>
      </c>
      <c r="G53" s="10">
        <f>+C53-(C$7+F53*C$8)</f>
        <v>2.1653999999907683</v>
      </c>
      <c r="K53">
        <f>+G53</f>
        <v>2.1653999999907683</v>
      </c>
      <c r="O53">
        <f ca="1">+C$11+C$12*$F53</f>
        <v>1.91421637059495</v>
      </c>
      <c r="Q53" s="2">
        <f>+C53-15018.5</f>
        <v>43691.140399999997</v>
      </c>
      <c r="R53" s="2"/>
      <c r="S53">
        <f ca="1">+(O53-G53)^2</f>
        <v>6.3093215676455788E-2</v>
      </c>
    </row>
    <row r="54" spans="1:19" x14ac:dyDescent="0.2">
      <c r="A54" s="79" t="s">
        <v>177</v>
      </c>
      <c r="B54" s="80" t="s">
        <v>47</v>
      </c>
      <c r="C54" s="79">
        <v>58725.505899999996</v>
      </c>
      <c r="D54" s="79">
        <v>3.5000000000000001E-3</v>
      </c>
      <c r="E54">
        <f>+(C54-C$7)/C$8</f>
        <v>31242.252077151323</v>
      </c>
      <c r="F54" s="31">
        <f>ROUND(2*E54,0)/2-3</f>
        <v>31239.5</v>
      </c>
      <c r="G54" s="10">
        <f>+C54-(C$7+F54*C$8)</f>
        <v>1.8548999999911757</v>
      </c>
      <c r="K54">
        <f>+G54</f>
        <v>1.8548999999911757</v>
      </c>
      <c r="O54">
        <f ca="1">+C$11+C$12*$F54</f>
        <v>1.9138500561701379</v>
      </c>
      <c r="Q54" s="2">
        <f>+C54-15018.5</f>
        <v>43707.005899999996</v>
      </c>
      <c r="R54" s="2"/>
      <c r="S54">
        <f ca="1">+(O54-G54)^2</f>
        <v>3.4751091235028001E-3</v>
      </c>
    </row>
    <row r="55" spans="1:19" x14ac:dyDescent="0.2">
      <c r="A55" s="79" t="s">
        <v>177</v>
      </c>
      <c r="B55" s="80" t="s">
        <v>47</v>
      </c>
      <c r="C55" s="79">
        <v>58750.444499999998</v>
      </c>
      <c r="D55" s="79">
        <v>3.5000000000000001E-3</v>
      </c>
      <c r="E55">
        <f>+(C55-C$7)/C$8</f>
        <v>31279.25296735904</v>
      </c>
      <c r="F55" s="31">
        <f>ROUND(2*E55,0)/2-3</f>
        <v>31276.5</v>
      </c>
      <c r="G55" s="10">
        <f>+C55-(C$7+F55*C$8)</f>
        <v>1.8554999999905704</v>
      </c>
      <c r="K55">
        <f>+G55</f>
        <v>1.8554999999905704</v>
      </c>
      <c r="O55">
        <f ca="1">+C$11+C$12*$F55</f>
        <v>1.9132853214318866</v>
      </c>
      <c r="Q55" s="2">
        <f>+C55-15018.5</f>
        <v>43731.944499999998</v>
      </c>
      <c r="R55" s="2"/>
      <c r="S55">
        <f ca="1">+(O55-G55)^2</f>
        <v>3.3391433740762384E-3</v>
      </c>
    </row>
    <row r="56" spans="1:19" x14ac:dyDescent="0.2">
      <c r="A56" s="79" t="s">
        <v>177</v>
      </c>
      <c r="B56" s="80" t="s">
        <v>47</v>
      </c>
      <c r="C56" s="79">
        <v>59063.536500000002</v>
      </c>
      <c r="D56" s="79">
        <v>3.5000000000000001E-3</v>
      </c>
      <c r="E56">
        <f>+(C56-C$7)/C$8</f>
        <v>31743.781157270027</v>
      </c>
      <c r="F56" s="31">
        <f>ROUND(2*E56,0)/2-3</f>
        <v>31741</v>
      </c>
      <c r="G56" s="10">
        <f>+C56-(C$7+F56*C$8)</f>
        <v>1.8744999999980791</v>
      </c>
      <c r="K56">
        <f>+G56</f>
        <v>1.8744999999980791</v>
      </c>
      <c r="O56">
        <f ca="1">+C$11+C$12*$F56</f>
        <v>1.9061956110016745</v>
      </c>
      <c r="Q56" s="2">
        <f>+C56-15018.5</f>
        <v>44045.036500000002</v>
      </c>
      <c r="R56" s="2"/>
      <c r="S56">
        <f ca="1">+(O56-G56)^2</f>
        <v>1.0046117568912316E-3</v>
      </c>
    </row>
    <row r="57" spans="1:19" x14ac:dyDescent="0.2">
      <c r="A57" s="79" t="s">
        <v>177</v>
      </c>
      <c r="B57" s="80" t="s">
        <v>47</v>
      </c>
      <c r="C57" s="79">
        <v>59105.350400000003</v>
      </c>
      <c r="D57" s="79">
        <v>3.5000000000000001E-3</v>
      </c>
      <c r="E57">
        <f>+(C57-C$7)/C$8</f>
        <v>31805.81958456973</v>
      </c>
      <c r="F57" s="31">
        <f>ROUND(2*E57,0)/2-3</f>
        <v>31803</v>
      </c>
      <c r="G57" s="10">
        <f>+C57-(C$7+F57*C$8)</f>
        <v>1.9003999999986263</v>
      </c>
      <c r="K57">
        <f>+G57</f>
        <v>1.9003999999986263</v>
      </c>
      <c r="O57">
        <f ca="1">+C$11+C$12*$F57</f>
        <v>1.9052492987375771</v>
      </c>
      <c r="Q57" s="2">
        <f>+C57-15018.5</f>
        <v>44086.850400000003</v>
      </c>
      <c r="R57" s="2"/>
      <c r="S57">
        <f ca="1">+(O57-G57)^2</f>
        <v>2.3515698259589734E-5</v>
      </c>
    </row>
    <row r="58" spans="1:19" x14ac:dyDescent="0.2">
      <c r="A58" s="79" t="s">
        <v>177</v>
      </c>
      <c r="B58" s="80" t="s">
        <v>47</v>
      </c>
      <c r="C58" s="79">
        <v>59425.496800000001</v>
      </c>
      <c r="D58" s="79">
        <v>3.5000000000000001E-3</v>
      </c>
      <c r="E58">
        <f>+(C58-C$7)/C$8</f>
        <v>32280.814243323439</v>
      </c>
      <c r="F58" s="31">
        <f>ROUND(2*E58,0)/2-3</f>
        <v>32278</v>
      </c>
      <c r="G58" s="10">
        <f>+C58-(C$7+F58*C$8)</f>
        <v>1.8967999999949825</v>
      </c>
      <c r="K58">
        <f>+G58</f>
        <v>1.8967999999949825</v>
      </c>
      <c r="O58">
        <f ca="1">+C$11+C$12*$F58</f>
        <v>1.8979993257465098</v>
      </c>
      <c r="Q58" s="2">
        <f>+C58-15018.5</f>
        <v>44406.996800000001</v>
      </c>
      <c r="R58" s="2"/>
      <c r="S58">
        <f ca="1">+(O58-G58)^2</f>
        <v>1.4383822582764227E-6</v>
      </c>
    </row>
    <row r="59" spans="1:19" x14ac:dyDescent="0.2">
      <c r="A59" s="79" t="s">
        <v>177</v>
      </c>
      <c r="B59" s="80" t="s">
        <v>47</v>
      </c>
      <c r="C59" s="79">
        <v>59792.495000000003</v>
      </c>
      <c r="D59" s="79">
        <v>3.5000000000000001E-3</v>
      </c>
      <c r="E59">
        <f>+(C59-C$7)/C$8</f>
        <v>32825.321958456974</v>
      </c>
      <c r="F59" s="31">
        <f>ROUND(2*E59,0)/2-3</f>
        <v>32822.5</v>
      </c>
      <c r="G59" s="10">
        <f>+C59-(C$7+F59*C$8)</f>
        <v>1.9019999999945867</v>
      </c>
      <c r="K59">
        <f>+G59</f>
        <v>1.9019999999945867</v>
      </c>
      <c r="O59">
        <f ca="1">+C$11+C$12*$F59</f>
        <v>1.8896885672335917</v>
      </c>
      <c r="Q59" s="2">
        <f>+C59-15018.5</f>
        <v>44773.995000000003</v>
      </c>
      <c r="R59" s="2"/>
      <c r="S59">
        <f ca="1">+(O59-G59)^2</f>
        <v>1.5157137662850099E-4</v>
      </c>
    </row>
    <row r="60" spans="1:19" x14ac:dyDescent="0.2">
      <c r="A60" s="79" t="s">
        <v>177</v>
      </c>
      <c r="B60" s="80" t="s">
        <v>47</v>
      </c>
      <c r="C60" s="79">
        <v>60144.631099999999</v>
      </c>
      <c r="D60" s="79">
        <v>3.5000000000000001E-3</v>
      </c>
      <c r="E60">
        <f>+(C60-C$7)/C$8</f>
        <v>33347.779080118686</v>
      </c>
      <c r="F60" s="31">
        <f>ROUND(2*E60,0)/2-3</f>
        <v>33345</v>
      </c>
      <c r="G60" s="10">
        <f>+C60-(C$7+F60*C$8)</f>
        <v>1.8730999999970663</v>
      </c>
      <c r="K60">
        <f>+G60</f>
        <v>1.8730999999970663</v>
      </c>
      <c r="O60">
        <f ca="1">+C$11+C$12*$F60</f>
        <v>1.8817135969434176</v>
      </c>
      <c r="Q60" s="2">
        <f>+C60-15018.5</f>
        <v>45126.131099999999</v>
      </c>
      <c r="R60" s="2"/>
      <c r="S60">
        <f ca="1">+(O60-G60)^2</f>
        <v>7.4194052354191079E-5</v>
      </c>
    </row>
    <row r="61" spans="1:19" x14ac:dyDescent="0.2">
      <c r="A61" s="79" t="s">
        <v>177</v>
      </c>
      <c r="B61" s="80" t="s">
        <v>47</v>
      </c>
      <c r="C61" s="79">
        <v>60173.599600000001</v>
      </c>
      <c r="D61" s="79">
        <v>3.5000000000000001E-3</v>
      </c>
      <c r="E61">
        <f>+(C61-C$7)/C$8</f>
        <v>33390.7590504451</v>
      </c>
      <c r="F61" s="31">
        <f>ROUND(2*E61,0)/2-3</f>
        <v>33388</v>
      </c>
      <c r="G61" s="10">
        <f>+C61-(C$7+F61*C$8)</f>
        <v>1.859599999996135</v>
      </c>
      <c r="K61">
        <f>+G61</f>
        <v>1.859599999996135</v>
      </c>
      <c r="O61">
        <f ca="1">+C$11+C$12*$F61</f>
        <v>1.8810572835989632</v>
      </c>
      <c r="Q61" s="2">
        <f>+C61-15018.5</f>
        <v>45155.099600000001</v>
      </c>
      <c r="R61" s="2"/>
      <c r="S61">
        <f ca="1">+(O61-G61)^2</f>
        <v>4.6041501961219863E-4</v>
      </c>
    </row>
    <row r="62" spans="1:19" x14ac:dyDescent="0.2">
      <c r="A62" s="79" t="s">
        <v>177</v>
      </c>
      <c r="B62" s="80" t="s">
        <v>47</v>
      </c>
      <c r="C62" s="79">
        <v>60185.436800000003</v>
      </c>
      <c r="D62" s="79">
        <v>3.5000000000000001E-3</v>
      </c>
      <c r="E62">
        <f>+(C62-C$7)/C$8</f>
        <v>33408.321661721064</v>
      </c>
      <c r="F62" s="31">
        <f>ROUND(2*E62,0)/2-3</f>
        <v>33405.5</v>
      </c>
      <c r="G62" s="10">
        <f>+C62-(C$7+F62*C$8)</f>
        <v>1.9017999999996391</v>
      </c>
      <c r="K62">
        <f>+G62</f>
        <v>1.9017999999996391</v>
      </c>
      <c r="O62">
        <f ca="1">+C$11+C$12*$F62</f>
        <v>1.8807901793308712</v>
      </c>
      <c r="Q62" s="2">
        <f>+C62-15018.5</f>
        <v>45166.936800000003</v>
      </c>
      <c r="R62" s="2"/>
      <c r="S62">
        <f ca="1">+(O62-G62)^2</f>
        <v>4.4141256453378628E-4</v>
      </c>
    </row>
    <row r="63" spans="1:19" x14ac:dyDescent="0.2">
      <c r="A63" s="79" t="s">
        <v>177</v>
      </c>
      <c r="B63" s="80" t="s">
        <v>47</v>
      </c>
      <c r="C63" s="79">
        <v>60268.305999999997</v>
      </c>
      <c r="D63" s="79">
        <v>3.5000000000000001E-3</v>
      </c>
      <c r="E63">
        <f>+(C63-C$7)/C$8</f>
        <v>33531.272997032633</v>
      </c>
      <c r="F63" s="31">
        <f>ROUND(2*E63,0)/2-3</f>
        <v>33528.5</v>
      </c>
      <c r="G63" s="10">
        <f>+C63-(C$7+F63*C$8)</f>
        <v>1.8689999999915017</v>
      </c>
      <c r="K63">
        <f>+G63</f>
        <v>1.8689999999915017</v>
      </c>
      <c r="O63">
        <f ca="1">+C$11+C$12*$F63</f>
        <v>1.8789128179037105</v>
      </c>
      <c r="Q63" s="2">
        <f>+C63-15018.5</f>
        <v>45249.805999999997</v>
      </c>
      <c r="R63" s="2"/>
      <c r="S63">
        <f ca="1">+(O63-G63)^2</f>
        <v>9.8263958960607067E-5</v>
      </c>
    </row>
    <row r="64" spans="1:19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</sheetData>
  <sortState xmlns:xlrd2="http://schemas.microsoft.com/office/spreadsheetml/2017/richdata2" ref="A21:Y64">
    <sortCondition ref="C21:C64"/>
  </sortState>
  <phoneticPr fontId="8" type="noConversion"/>
  <hyperlinks>
    <hyperlink ref="H931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8"/>
  <sheetViews>
    <sheetView topLeftCell="A9" workbookViewId="0">
      <selection activeCell="A27" sqref="A27:D32"/>
    </sheetView>
  </sheetViews>
  <sheetFormatPr defaultRowHeight="12.75" x14ac:dyDescent="0.2"/>
  <cols>
    <col min="1" max="1" width="19.7109375" style="10" customWidth="1"/>
    <col min="2" max="2" width="4.42578125" style="20" customWidth="1"/>
    <col min="3" max="3" width="12.7109375" style="10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10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 x14ac:dyDescent="0.25">
      <c r="A1" s="42" t="s">
        <v>51</v>
      </c>
      <c r="I1" s="43" t="s">
        <v>52</v>
      </c>
      <c r="J1" s="44" t="s">
        <v>53</v>
      </c>
    </row>
    <row r="2" spans="1:16" x14ac:dyDescent="0.2">
      <c r="I2" s="45" t="s">
        <v>54</v>
      </c>
      <c r="J2" s="46" t="s">
        <v>55</v>
      </c>
    </row>
    <row r="3" spans="1:16" x14ac:dyDescent="0.2">
      <c r="A3" s="47" t="s">
        <v>56</v>
      </c>
      <c r="I3" s="45" t="s">
        <v>57</v>
      </c>
      <c r="J3" s="46" t="s">
        <v>58</v>
      </c>
    </row>
    <row r="4" spans="1:16" x14ac:dyDescent="0.2">
      <c r="I4" s="45" t="s">
        <v>59</v>
      </c>
      <c r="J4" s="46" t="s">
        <v>58</v>
      </c>
    </row>
    <row r="5" spans="1:16" ht="13.5" thickBot="1" x14ac:dyDescent="0.25">
      <c r="I5" s="48" t="s">
        <v>60</v>
      </c>
      <c r="J5" s="49" t="s">
        <v>61</v>
      </c>
    </row>
    <row r="10" spans="1:16" ht="13.5" thickBot="1" x14ac:dyDescent="0.25"/>
    <row r="11" spans="1:16" ht="12.75" customHeight="1" thickBot="1" x14ac:dyDescent="0.25">
      <c r="A11" s="10" t="str">
        <f t="shared" ref="A11:A32" si="0">P11</f>
        <v> VSS 7.65 </v>
      </c>
      <c r="B11" s="3" t="str">
        <f t="shared" ref="B11:B32" si="1">IF(H11=INT(H11),"I","II")</f>
        <v>I</v>
      </c>
      <c r="C11" s="10">
        <f t="shared" ref="C11:C32" si="2">1*G11</f>
        <v>37668.228000000003</v>
      </c>
      <c r="D11" s="20" t="str">
        <f t="shared" ref="D11:D32" si="3">VLOOKUP(F11,I$1:J$5,2,FALSE)</f>
        <v>vis</v>
      </c>
      <c r="E11" s="50">
        <f>VLOOKUP(C11,'Active 2'!C$21:E$972,3,FALSE)</f>
        <v>0</v>
      </c>
      <c r="F11" s="3" t="s">
        <v>60</v>
      </c>
      <c r="G11" s="20" t="str">
        <f t="shared" ref="G11:G32" si="4">MID(I11,3,LEN(I11)-3)</f>
        <v>37668.228</v>
      </c>
      <c r="H11" s="10">
        <f t="shared" ref="H11:H32" si="5">1*K11</f>
        <v>0</v>
      </c>
      <c r="I11" s="51" t="s">
        <v>62</v>
      </c>
      <c r="J11" s="52" t="s">
        <v>63</v>
      </c>
      <c r="K11" s="51">
        <v>0</v>
      </c>
      <c r="L11" s="51" t="s">
        <v>64</v>
      </c>
      <c r="M11" s="52" t="s">
        <v>65</v>
      </c>
      <c r="N11" s="52"/>
      <c r="O11" s="53" t="s">
        <v>66</v>
      </c>
      <c r="P11" s="53" t="s">
        <v>67</v>
      </c>
    </row>
    <row r="12" spans="1:16" ht="12.75" customHeight="1" thickBot="1" x14ac:dyDescent="0.25">
      <c r="A12" s="10" t="str">
        <f t="shared" si="0"/>
        <v> VSS 7.65 </v>
      </c>
      <c r="B12" s="3" t="str">
        <f t="shared" si="1"/>
        <v>II</v>
      </c>
      <c r="C12" s="10">
        <f t="shared" si="2"/>
        <v>37669.224000000002</v>
      </c>
      <c r="D12" s="20" t="str">
        <f t="shared" si="3"/>
        <v>vis</v>
      </c>
      <c r="E12" s="50">
        <f>VLOOKUP(C12,'Active 2'!C$21:E$972,3,FALSE)</f>
        <v>1.4777448071204526</v>
      </c>
      <c r="F12" s="3" t="s">
        <v>60</v>
      </c>
      <c r="G12" s="20" t="str">
        <f t="shared" si="4"/>
        <v>37669.224</v>
      </c>
      <c r="H12" s="10">
        <f t="shared" si="5"/>
        <v>1.5</v>
      </c>
      <c r="I12" s="51" t="s">
        <v>68</v>
      </c>
      <c r="J12" s="52" t="s">
        <v>69</v>
      </c>
      <c r="K12" s="51">
        <v>1.5</v>
      </c>
      <c r="L12" s="51" t="s">
        <v>70</v>
      </c>
      <c r="M12" s="52" t="s">
        <v>65</v>
      </c>
      <c r="N12" s="52"/>
      <c r="O12" s="53" t="s">
        <v>66</v>
      </c>
      <c r="P12" s="53" t="s">
        <v>67</v>
      </c>
    </row>
    <row r="13" spans="1:16" ht="12.75" customHeight="1" thickBot="1" x14ac:dyDescent="0.25">
      <c r="A13" s="10" t="str">
        <f t="shared" si="0"/>
        <v> VSS 7.65 </v>
      </c>
      <c r="B13" s="3" t="str">
        <f t="shared" si="1"/>
        <v>II</v>
      </c>
      <c r="C13" s="10">
        <f t="shared" si="2"/>
        <v>37898.455000000002</v>
      </c>
      <c r="D13" s="20" t="str">
        <f t="shared" si="3"/>
        <v>vis</v>
      </c>
      <c r="E13" s="50">
        <f>VLOOKUP(C13,'Active 2'!C$21:E$972,3,FALSE)</f>
        <v>341.58308605341091</v>
      </c>
      <c r="F13" s="3" t="s">
        <v>60</v>
      </c>
      <c r="G13" s="20" t="str">
        <f t="shared" si="4"/>
        <v>37898.455</v>
      </c>
      <c r="H13" s="10">
        <f t="shared" si="5"/>
        <v>341.5</v>
      </c>
      <c r="I13" s="51" t="s">
        <v>71</v>
      </c>
      <c r="J13" s="52" t="s">
        <v>72</v>
      </c>
      <c r="K13" s="51">
        <v>341.5</v>
      </c>
      <c r="L13" s="51" t="s">
        <v>73</v>
      </c>
      <c r="M13" s="52" t="s">
        <v>65</v>
      </c>
      <c r="N13" s="52"/>
      <c r="O13" s="53" t="s">
        <v>66</v>
      </c>
      <c r="P13" s="53" t="s">
        <v>67</v>
      </c>
    </row>
    <row r="14" spans="1:16" ht="12.75" customHeight="1" thickBot="1" x14ac:dyDescent="0.25">
      <c r="A14" s="10" t="str">
        <f t="shared" si="0"/>
        <v> VSS 7.65 </v>
      </c>
      <c r="B14" s="3" t="str">
        <f t="shared" si="1"/>
        <v>II</v>
      </c>
      <c r="C14" s="10">
        <f t="shared" si="2"/>
        <v>37906.516000000003</v>
      </c>
      <c r="D14" s="20" t="str">
        <f t="shared" si="3"/>
        <v>vis</v>
      </c>
      <c r="E14" s="50">
        <f>VLOOKUP(C14,'Active 2'!C$21:E$972,3,FALSE)</f>
        <v>353.54302670623213</v>
      </c>
      <c r="F14" s="3" t="s">
        <v>60</v>
      </c>
      <c r="G14" s="20" t="str">
        <f t="shared" si="4"/>
        <v>37906.516</v>
      </c>
      <c r="H14" s="10">
        <f t="shared" si="5"/>
        <v>353.5</v>
      </c>
      <c r="I14" s="51" t="s">
        <v>74</v>
      </c>
      <c r="J14" s="52" t="s">
        <v>75</v>
      </c>
      <c r="K14" s="51">
        <v>353.5</v>
      </c>
      <c r="L14" s="51" t="s">
        <v>76</v>
      </c>
      <c r="M14" s="52" t="s">
        <v>65</v>
      </c>
      <c r="N14" s="52"/>
      <c r="O14" s="53" t="s">
        <v>66</v>
      </c>
      <c r="P14" s="53" t="s">
        <v>67</v>
      </c>
    </row>
    <row r="15" spans="1:16" ht="12.75" customHeight="1" thickBot="1" x14ac:dyDescent="0.25">
      <c r="A15" s="10" t="str">
        <f t="shared" si="0"/>
        <v> VSS 7.65 </v>
      </c>
      <c r="B15" s="3" t="str">
        <f t="shared" si="1"/>
        <v>I</v>
      </c>
      <c r="C15" s="10">
        <f t="shared" si="2"/>
        <v>37917.584999999999</v>
      </c>
      <c r="D15" s="20" t="str">
        <f t="shared" si="3"/>
        <v>vis</v>
      </c>
      <c r="E15" s="50">
        <f>VLOOKUP(C15,'Active 2'!C$21:E$972,3,FALSE)</f>
        <v>369.96587537091443</v>
      </c>
      <c r="F15" s="3" t="s">
        <v>60</v>
      </c>
      <c r="G15" s="20" t="str">
        <f t="shared" si="4"/>
        <v>37917.585</v>
      </c>
      <c r="H15" s="10">
        <f t="shared" si="5"/>
        <v>370</v>
      </c>
      <c r="I15" s="51" t="s">
        <v>77</v>
      </c>
      <c r="J15" s="52" t="s">
        <v>78</v>
      </c>
      <c r="K15" s="51">
        <v>370</v>
      </c>
      <c r="L15" s="51" t="s">
        <v>79</v>
      </c>
      <c r="M15" s="52" t="s">
        <v>65</v>
      </c>
      <c r="N15" s="52"/>
      <c r="O15" s="53" t="s">
        <v>66</v>
      </c>
      <c r="P15" s="53" t="s">
        <v>67</v>
      </c>
    </row>
    <row r="16" spans="1:16" ht="12.75" customHeight="1" thickBot="1" x14ac:dyDescent="0.25">
      <c r="A16" s="10" t="str">
        <f t="shared" si="0"/>
        <v> VSS 7.65 </v>
      </c>
      <c r="B16" s="3" t="str">
        <f t="shared" si="1"/>
        <v>I</v>
      </c>
      <c r="C16" s="10">
        <f t="shared" si="2"/>
        <v>37944.557000000001</v>
      </c>
      <c r="D16" s="20" t="str">
        <f t="shared" si="3"/>
        <v>vis</v>
      </c>
      <c r="E16" s="50">
        <f>VLOOKUP(C16,'Active 2'!C$21:E$972,3,FALSE)</f>
        <v>409.98367952521943</v>
      </c>
      <c r="F16" s="3" t="s">
        <v>60</v>
      </c>
      <c r="G16" s="20" t="str">
        <f t="shared" si="4"/>
        <v>37944.557</v>
      </c>
      <c r="H16" s="10">
        <f t="shared" si="5"/>
        <v>410</v>
      </c>
      <c r="I16" s="51" t="s">
        <v>80</v>
      </c>
      <c r="J16" s="52" t="s">
        <v>81</v>
      </c>
      <c r="K16" s="51">
        <v>410</v>
      </c>
      <c r="L16" s="51" t="s">
        <v>82</v>
      </c>
      <c r="M16" s="52" t="s">
        <v>65</v>
      </c>
      <c r="N16" s="52"/>
      <c r="O16" s="53" t="s">
        <v>66</v>
      </c>
      <c r="P16" s="53" t="s">
        <v>67</v>
      </c>
    </row>
    <row r="17" spans="1:16" ht="12.75" customHeight="1" thickBot="1" x14ac:dyDescent="0.25">
      <c r="A17" s="10" t="str">
        <f t="shared" si="0"/>
        <v> VSS 7.65 </v>
      </c>
      <c r="B17" s="3" t="str">
        <f t="shared" si="1"/>
        <v>II</v>
      </c>
      <c r="C17" s="10">
        <f t="shared" si="2"/>
        <v>37964.440999999999</v>
      </c>
      <c r="D17" s="20" t="str">
        <f t="shared" si="3"/>
        <v>vis</v>
      </c>
      <c r="E17" s="50">
        <f>VLOOKUP(C17,'Active 2'!C$21:E$972,3,FALSE)</f>
        <v>439.48516320474198</v>
      </c>
      <c r="F17" s="3" t="s">
        <v>60</v>
      </c>
      <c r="G17" s="20" t="str">
        <f t="shared" si="4"/>
        <v>37964.441</v>
      </c>
      <c r="H17" s="10">
        <f t="shared" si="5"/>
        <v>439.5</v>
      </c>
      <c r="I17" s="51" t="s">
        <v>83</v>
      </c>
      <c r="J17" s="52" t="s">
        <v>84</v>
      </c>
      <c r="K17" s="51">
        <v>439.5</v>
      </c>
      <c r="L17" s="51" t="s">
        <v>85</v>
      </c>
      <c r="M17" s="52" t="s">
        <v>65</v>
      </c>
      <c r="N17" s="52"/>
      <c r="O17" s="53" t="s">
        <v>66</v>
      </c>
      <c r="P17" s="53" t="s">
        <v>67</v>
      </c>
    </row>
    <row r="18" spans="1:16" ht="12.75" customHeight="1" thickBot="1" x14ac:dyDescent="0.25">
      <c r="A18" s="10" t="str">
        <f t="shared" si="0"/>
        <v> VSS 7.65 </v>
      </c>
      <c r="B18" s="3" t="str">
        <f t="shared" si="1"/>
        <v>I</v>
      </c>
      <c r="C18" s="10">
        <f t="shared" si="2"/>
        <v>38348.315999999999</v>
      </c>
      <c r="D18" s="20" t="str">
        <f t="shared" si="3"/>
        <v>vis</v>
      </c>
      <c r="E18" s="50">
        <f>VLOOKUP(C18,'Active 2'!C$21:E$972,3,FALSE)</f>
        <v>1009.0326409495491</v>
      </c>
      <c r="F18" s="3" t="s">
        <v>60</v>
      </c>
      <c r="G18" s="20" t="str">
        <f t="shared" si="4"/>
        <v>38348.316</v>
      </c>
      <c r="H18" s="10">
        <f t="shared" si="5"/>
        <v>1009</v>
      </c>
      <c r="I18" s="51" t="s">
        <v>86</v>
      </c>
      <c r="J18" s="52" t="s">
        <v>87</v>
      </c>
      <c r="K18" s="51">
        <v>1009</v>
      </c>
      <c r="L18" s="51" t="s">
        <v>88</v>
      </c>
      <c r="M18" s="52" t="s">
        <v>65</v>
      </c>
      <c r="N18" s="52"/>
      <c r="O18" s="53" t="s">
        <v>66</v>
      </c>
      <c r="P18" s="53" t="s">
        <v>67</v>
      </c>
    </row>
    <row r="19" spans="1:16" ht="12.75" customHeight="1" thickBot="1" x14ac:dyDescent="0.25">
      <c r="A19" s="10" t="str">
        <f t="shared" si="0"/>
        <v>IBVS 4750 </v>
      </c>
      <c r="B19" s="3" t="str">
        <f t="shared" si="1"/>
        <v>I</v>
      </c>
      <c r="C19" s="10">
        <f t="shared" si="2"/>
        <v>51052.376799999998</v>
      </c>
      <c r="D19" s="20" t="str">
        <f t="shared" si="3"/>
        <v>vis</v>
      </c>
      <c r="E19" s="50">
        <f>VLOOKUP(C19,'Active 2'!C$21:E$972,3,FALSE)</f>
        <v>19857.787537091979</v>
      </c>
      <c r="F19" s="3" t="s">
        <v>60</v>
      </c>
      <c r="G19" s="20" t="str">
        <f t="shared" si="4"/>
        <v>51052.3768</v>
      </c>
      <c r="H19" s="10">
        <f t="shared" si="5"/>
        <v>19857</v>
      </c>
      <c r="I19" s="51" t="s">
        <v>89</v>
      </c>
      <c r="J19" s="52" t="s">
        <v>90</v>
      </c>
      <c r="K19" s="51">
        <v>19857</v>
      </c>
      <c r="L19" s="51" t="s">
        <v>91</v>
      </c>
      <c r="M19" s="52" t="s">
        <v>92</v>
      </c>
      <c r="N19" s="52" t="s">
        <v>93</v>
      </c>
      <c r="O19" s="53" t="s">
        <v>94</v>
      </c>
      <c r="P19" s="54" t="s">
        <v>95</v>
      </c>
    </row>
    <row r="20" spans="1:16" ht="12.75" customHeight="1" thickBot="1" x14ac:dyDescent="0.25">
      <c r="A20" s="10" t="str">
        <f t="shared" si="0"/>
        <v> BBS 119 </v>
      </c>
      <c r="B20" s="3" t="str">
        <f t="shared" si="1"/>
        <v>II</v>
      </c>
      <c r="C20" s="10">
        <f t="shared" si="2"/>
        <v>51107.287100000001</v>
      </c>
      <c r="D20" s="20" t="str">
        <f t="shared" si="3"/>
        <v>vis</v>
      </c>
      <c r="E20" s="50">
        <f>VLOOKUP(C20,'Active 2'!C$21:E$972,3,FALSE)</f>
        <v>19939.256824925811</v>
      </c>
      <c r="F20" s="3" t="s">
        <v>60</v>
      </c>
      <c r="G20" s="20" t="str">
        <f t="shared" si="4"/>
        <v>51107.2871</v>
      </c>
      <c r="H20" s="10">
        <f t="shared" si="5"/>
        <v>19938.5</v>
      </c>
      <c r="I20" s="51" t="s">
        <v>96</v>
      </c>
      <c r="J20" s="52" t="s">
        <v>97</v>
      </c>
      <c r="K20" s="51">
        <v>19938.5</v>
      </c>
      <c r="L20" s="51" t="s">
        <v>98</v>
      </c>
      <c r="M20" s="52" t="s">
        <v>92</v>
      </c>
      <c r="N20" s="52" t="s">
        <v>93</v>
      </c>
      <c r="O20" s="53" t="s">
        <v>99</v>
      </c>
      <c r="P20" s="53" t="s">
        <v>100</v>
      </c>
    </row>
    <row r="21" spans="1:16" ht="12.75" customHeight="1" thickBot="1" x14ac:dyDescent="0.25">
      <c r="A21" s="10" t="str">
        <f t="shared" si="0"/>
        <v> BBS 120 </v>
      </c>
      <c r="B21" s="3" t="str">
        <f t="shared" si="1"/>
        <v>II</v>
      </c>
      <c r="C21" s="10">
        <f t="shared" si="2"/>
        <v>51361.436900000001</v>
      </c>
      <c r="D21" s="20" t="str">
        <f t="shared" si="3"/>
        <v>vis</v>
      </c>
      <c r="E21" s="50">
        <f>VLOOKUP(C21,'Active 2'!C$21:E$972,3,FALSE)</f>
        <v>20316.333679525218</v>
      </c>
      <c r="F21" s="3" t="s">
        <v>60</v>
      </c>
      <c r="G21" s="20" t="str">
        <f t="shared" si="4"/>
        <v>51361.4369</v>
      </c>
      <c r="H21" s="10">
        <f t="shared" si="5"/>
        <v>20315.5</v>
      </c>
      <c r="I21" s="51" t="s">
        <v>101</v>
      </c>
      <c r="J21" s="52" t="s">
        <v>102</v>
      </c>
      <c r="K21" s="51">
        <v>20315.5</v>
      </c>
      <c r="L21" s="51" t="s">
        <v>103</v>
      </c>
      <c r="M21" s="52" t="s">
        <v>92</v>
      </c>
      <c r="N21" s="52" t="s">
        <v>93</v>
      </c>
      <c r="O21" s="53" t="s">
        <v>99</v>
      </c>
      <c r="P21" s="53" t="s">
        <v>104</v>
      </c>
    </row>
    <row r="22" spans="1:16" ht="12.75" customHeight="1" thickBot="1" x14ac:dyDescent="0.25">
      <c r="A22" s="10" t="str">
        <f t="shared" si="0"/>
        <v>BAVM 178 </v>
      </c>
      <c r="B22" s="3" t="str">
        <f t="shared" si="1"/>
        <v>I</v>
      </c>
      <c r="C22" s="10">
        <f t="shared" si="2"/>
        <v>53639.460400000004</v>
      </c>
      <c r="D22" s="20" t="str">
        <f t="shared" si="3"/>
        <v>vis</v>
      </c>
      <c r="E22" s="50">
        <f>VLOOKUP(C22,'Active 2'!C$21:E$972,3,FALSE)</f>
        <v>23696.190504451039</v>
      </c>
      <c r="F22" s="3" t="s">
        <v>60</v>
      </c>
      <c r="G22" s="20" t="str">
        <f t="shared" si="4"/>
        <v>53639.4604</v>
      </c>
      <c r="H22" s="10">
        <f t="shared" si="5"/>
        <v>23695</v>
      </c>
      <c r="I22" s="51" t="s">
        <v>105</v>
      </c>
      <c r="J22" s="52" t="s">
        <v>106</v>
      </c>
      <c r="K22" s="51">
        <v>23695</v>
      </c>
      <c r="L22" s="51" t="s">
        <v>107</v>
      </c>
      <c r="M22" s="52" t="s">
        <v>108</v>
      </c>
      <c r="N22" s="52" t="s">
        <v>109</v>
      </c>
      <c r="O22" s="53" t="s">
        <v>110</v>
      </c>
      <c r="P22" s="54" t="s">
        <v>111</v>
      </c>
    </row>
    <row r="23" spans="1:16" ht="12.75" customHeight="1" thickBot="1" x14ac:dyDescent="0.25">
      <c r="A23" s="10" t="str">
        <f t="shared" si="0"/>
        <v>OEJV 0074 </v>
      </c>
      <c r="B23" s="3" t="str">
        <f t="shared" si="1"/>
        <v>I</v>
      </c>
      <c r="C23" s="10">
        <f t="shared" si="2"/>
        <v>54024.337670000001</v>
      </c>
      <c r="D23" s="20" t="str">
        <f t="shared" si="3"/>
        <v>vis</v>
      </c>
      <c r="E23" s="50">
        <f>VLOOKUP(C23,'Active 2'!C$21:E$972,3,FALSE)</f>
        <v>24267.225029673587</v>
      </c>
      <c r="F23" s="3" t="s">
        <v>60</v>
      </c>
      <c r="G23" s="20" t="str">
        <f t="shared" si="4"/>
        <v>54024.33767</v>
      </c>
      <c r="H23" s="10">
        <f t="shared" si="5"/>
        <v>24266</v>
      </c>
      <c r="I23" s="51" t="s">
        <v>112</v>
      </c>
      <c r="J23" s="52" t="s">
        <v>113</v>
      </c>
      <c r="K23" s="51" t="s">
        <v>114</v>
      </c>
      <c r="L23" s="51" t="s">
        <v>115</v>
      </c>
      <c r="M23" s="52" t="s">
        <v>108</v>
      </c>
      <c r="N23" s="52" t="s">
        <v>116</v>
      </c>
      <c r="O23" s="53" t="s">
        <v>117</v>
      </c>
      <c r="P23" s="54" t="s">
        <v>118</v>
      </c>
    </row>
    <row r="24" spans="1:16" ht="12.75" customHeight="1" thickBot="1" x14ac:dyDescent="0.25">
      <c r="A24" s="10" t="str">
        <f t="shared" si="0"/>
        <v>BAVM 186 </v>
      </c>
      <c r="B24" s="3" t="str">
        <f t="shared" si="1"/>
        <v>II</v>
      </c>
      <c r="C24" s="10">
        <f t="shared" si="2"/>
        <v>54221.563099999999</v>
      </c>
      <c r="D24" s="20" t="str">
        <f t="shared" si="3"/>
        <v>vis</v>
      </c>
      <c r="E24" s="50">
        <f>VLOOKUP(C24,'Active 2'!C$21:E$972,3,FALSE)</f>
        <v>24559.844362017797</v>
      </c>
      <c r="F24" s="3" t="s">
        <v>60</v>
      </c>
      <c r="G24" s="20" t="str">
        <f t="shared" si="4"/>
        <v>54221.5631</v>
      </c>
      <c r="H24" s="10">
        <f t="shared" si="5"/>
        <v>24558.5</v>
      </c>
      <c r="I24" s="51" t="s">
        <v>125</v>
      </c>
      <c r="J24" s="52" t="s">
        <v>126</v>
      </c>
      <c r="K24" s="51" t="s">
        <v>127</v>
      </c>
      <c r="L24" s="51" t="s">
        <v>128</v>
      </c>
      <c r="M24" s="52" t="s">
        <v>108</v>
      </c>
      <c r="N24" s="52" t="s">
        <v>109</v>
      </c>
      <c r="O24" s="53" t="s">
        <v>129</v>
      </c>
      <c r="P24" s="54" t="s">
        <v>130</v>
      </c>
    </row>
    <row r="25" spans="1:16" ht="12.75" customHeight="1" thickBot="1" x14ac:dyDescent="0.25">
      <c r="A25" s="10" t="str">
        <f t="shared" si="0"/>
        <v>OEJV 0160 </v>
      </c>
      <c r="B25" s="3" t="str">
        <f t="shared" si="1"/>
        <v>II</v>
      </c>
      <c r="C25" s="10">
        <f t="shared" si="2"/>
        <v>55819.510699999999</v>
      </c>
      <c r="D25" s="20" t="str">
        <f t="shared" si="3"/>
        <v>vis</v>
      </c>
      <c r="E25" s="50">
        <f>VLOOKUP(C25,'Active 2'!C$21:E$972,3,FALSE)</f>
        <v>26930.686498516312</v>
      </c>
      <c r="F25" s="3" t="s">
        <v>60</v>
      </c>
      <c r="G25" s="20" t="str">
        <f t="shared" si="4"/>
        <v>55819.5107</v>
      </c>
      <c r="H25" s="10">
        <f t="shared" si="5"/>
        <v>26929.5</v>
      </c>
      <c r="I25" s="51" t="s">
        <v>159</v>
      </c>
      <c r="J25" s="52" t="s">
        <v>160</v>
      </c>
      <c r="K25" s="51" t="s">
        <v>161</v>
      </c>
      <c r="L25" s="51" t="s">
        <v>162</v>
      </c>
      <c r="M25" s="52" t="s">
        <v>108</v>
      </c>
      <c r="N25" s="52" t="s">
        <v>52</v>
      </c>
      <c r="O25" s="53" t="s">
        <v>140</v>
      </c>
      <c r="P25" s="54" t="s">
        <v>163</v>
      </c>
    </row>
    <row r="26" spans="1:16" ht="12.75" customHeight="1" thickBot="1" x14ac:dyDescent="0.25">
      <c r="A26" s="10" t="str">
        <f t="shared" si="0"/>
        <v>BAVM 232 </v>
      </c>
      <c r="B26" s="3" t="str">
        <f t="shared" si="1"/>
        <v>II</v>
      </c>
      <c r="C26" s="10">
        <f t="shared" si="2"/>
        <v>56489.5239</v>
      </c>
      <c r="D26" s="20" t="str">
        <f t="shared" si="3"/>
        <v>vis</v>
      </c>
      <c r="E26" s="50">
        <f>VLOOKUP(C26,'Active 2'!C$21:E$972,3,FALSE)</f>
        <v>27924.771364985158</v>
      </c>
      <c r="F26" s="3" t="s">
        <v>60</v>
      </c>
      <c r="G26" s="20" t="str">
        <f t="shared" si="4"/>
        <v>56489.5239</v>
      </c>
      <c r="H26" s="10">
        <f t="shared" si="5"/>
        <v>27923.5</v>
      </c>
      <c r="I26" s="51" t="s">
        <v>164</v>
      </c>
      <c r="J26" s="52" t="s">
        <v>165</v>
      </c>
      <c r="K26" s="51" t="s">
        <v>166</v>
      </c>
      <c r="L26" s="51" t="s">
        <v>167</v>
      </c>
      <c r="M26" s="52" t="s">
        <v>108</v>
      </c>
      <c r="N26" s="52" t="s">
        <v>146</v>
      </c>
      <c r="O26" s="53" t="s">
        <v>153</v>
      </c>
      <c r="P26" s="54" t="s">
        <v>168</v>
      </c>
    </row>
    <row r="27" spans="1:16" ht="12.75" customHeight="1" thickBot="1" x14ac:dyDescent="0.25">
      <c r="A27" s="10" t="str">
        <f t="shared" si="0"/>
        <v>IBVS 6007 </v>
      </c>
      <c r="B27" s="3" t="str">
        <f t="shared" si="1"/>
        <v>II</v>
      </c>
      <c r="C27" s="10">
        <f t="shared" si="2"/>
        <v>54035.41966</v>
      </c>
      <c r="D27" s="20" t="str">
        <f t="shared" si="3"/>
        <v>vis</v>
      </c>
      <c r="E27" s="50">
        <f>VLOOKUP(C27,'Active 2'!C$21:E$972,3,FALSE)</f>
        <v>24283.667151335307</v>
      </c>
      <c r="F27" s="3" t="s">
        <v>60</v>
      </c>
      <c r="G27" s="20" t="str">
        <f t="shared" si="4"/>
        <v>54035.41966</v>
      </c>
      <c r="H27" s="10">
        <f t="shared" si="5"/>
        <v>24282.5</v>
      </c>
      <c r="I27" s="51" t="s">
        <v>119</v>
      </c>
      <c r="J27" s="52" t="s">
        <v>120</v>
      </c>
      <c r="K27" s="51" t="s">
        <v>121</v>
      </c>
      <c r="L27" s="51" t="s">
        <v>122</v>
      </c>
      <c r="M27" s="52" t="s">
        <v>108</v>
      </c>
      <c r="N27" s="52" t="s">
        <v>116</v>
      </c>
      <c r="O27" s="53" t="s">
        <v>123</v>
      </c>
      <c r="P27" s="54" t="s">
        <v>124</v>
      </c>
    </row>
    <row r="28" spans="1:16" ht="12.75" customHeight="1" thickBot="1" x14ac:dyDescent="0.25">
      <c r="A28" s="10" t="str">
        <f t="shared" si="0"/>
        <v>BAVM 212 </v>
      </c>
      <c r="B28" s="3" t="str">
        <f t="shared" si="1"/>
        <v>I</v>
      </c>
      <c r="C28" s="10">
        <f t="shared" si="2"/>
        <v>55045.472500000003</v>
      </c>
      <c r="D28" s="20" t="str">
        <f t="shared" si="3"/>
        <v>vis</v>
      </c>
      <c r="E28" s="50">
        <f>VLOOKUP(C28,'Active 2'!C$21:E$972,3,FALSE)</f>
        <v>25782.261869436203</v>
      </c>
      <c r="F28" s="3" t="s">
        <v>60</v>
      </c>
      <c r="G28" s="20" t="str">
        <f t="shared" si="4"/>
        <v>55045.4725</v>
      </c>
      <c r="H28" s="10">
        <f t="shared" si="5"/>
        <v>25781</v>
      </c>
      <c r="I28" s="51" t="s">
        <v>131</v>
      </c>
      <c r="J28" s="52" t="s">
        <v>132</v>
      </c>
      <c r="K28" s="51" t="s">
        <v>133</v>
      </c>
      <c r="L28" s="51" t="s">
        <v>134</v>
      </c>
      <c r="M28" s="52" t="s">
        <v>108</v>
      </c>
      <c r="N28" s="52" t="s">
        <v>109</v>
      </c>
      <c r="O28" s="53" t="s">
        <v>129</v>
      </c>
      <c r="P28" s="54" t="s">
        <v>135</v>
      </c>
    </row>
    <row r="29" spans="1:16" ht="12.75" customHeight="1" thickBot="1" x14ac:dyDescent="0.25">
      <c r="A29" s="10" t="str">
        <f t="shared" si="0"/>
        <v>OEJV 0137 </v>
      </c>
      <c r="B29" s="3" t="str">
        <f t="shared" si="1"/>
        <v>I</v>
      </c>
      <c r="C29" s="10">
        <f t="shared" si="2"/>
        <v>55082.4974</v>
      </c>
      <c r="D29" s="20" t="str">
        <f t="shared" si="3"/>
        <v>vis</v>
      </c>
      <c r="E29" s="50" t="e">
        <f>VLOOKUP(C29,'Active 2'!C$21:E$972,3,FALSE)</f>
        <v>#N/A</v>
      </c>
      <c r="F29" s="3" t="s">
        <v>60</v>
      </c>
      <c r="G29" s="20" t="str">
        <f t="shared" si="4"/>
        <v>55082.4974</v>
      </c>
      <c r="H29" s="10">
        <f t="shared" si="5"/>
        <v>25836</v>
      </c>
      <c r="I29" s="51" t="s">
        <v>136</v>
      </c>
      <c r="J29" s="52" t="s">
        <v>137</v>
      </c>
      <c r="K29" s="51" t="s">
        <v>138</v>
      </c>
      <c r="L29" s="51" t="s">
        <v>139</v>
      </c>
      <c r="M29" s="52" t="s">
        <v>108</v>
      </c>
      <c r="N29" s="52" t="s">
        <v>52</v>
      </c>
      <c r="O29" s="53" t="s">
        <v>140</v>
      </c>
      <c r="P29" s="54" t="s">
        <v>141</v>
      </c>
    </row>
    <row r="30" spans="1:16" ht="12.75" customHeight="1" thickBot="1" x14ac:dyDescent="0.25">
      <c r="A30" s="10" t="str">
        <f t="shared" si="0"/>
        <v>BAVM 214 </v>
      </c>
      <c r="B30" s="3" t="str">
        <f t="shared" si="1"/>
        <v>I</v>
      </c>
      <c r="C30" s="10">
        <f t="shared" si="2"/>
        <v>55264.61</v>
      </c>
      <c r="D30" s="20" t="str">
        <f t="shared" si="3"/>
        <v>vis</v>
      </c>
      <c r="E30" s="50">
        <f>VLOOKUP(C30,'Active 2'!C$21:E$972,3,FALSE)</f>
        <v>26107.391691394652</v>
      </c>
      <c r="F30" s="3" t="s">
        <v>60</v>
      </c>
      <c r="G30" s="20" t="str">
        <f t="shared" si="4"/>
        <v>55264.6100</v>
      </c>
      <c r="H30" s="10">
        <f t="shared" si="5"/>
        <v>26106</v>
      </c>
      <c r="I30" s="51" t="s">
        <v>142</v>
      </c>
      <c r="J30" s="52" t="s">
        <v>143</v>
      </c>
      <c r="K30" s="51" t="s">
        <v>144</v>
      </c>
      <c r="L30" s="51" t="s">
        <v>145</v>
      </c>
      <c r="M30" s="52" t="s">
        <v>108</v>
      </c>
      <c r="N30" s="52" t="s">
        <v>146</v>
      </c>
      <c r="O30" s="53" t="s">
        <v>147</v>
      </c>
      <c r="P30" s="54" t="s">
        <v>148</v>
      </c>
    </row>
    <row r="31" spans="1:16" ht="12.75" customHeight="1" thickBot="1" x14ac:dyDescent="0.25">
      <c r="A31" s="10" t="str">
        <f t="shared" si="0"/>
        <v>BAVM 214 </v>
      </c>
      <c r="B31" s="3" t="str">
        <f t="shared" si="1"/>
        <v>II</v>
      </c>
      <c r="C31" s="10">
        <f t="shared" si="2"/>
        <v>55393.576800000003</v>
      </c>
      <c r="D31" s="20" t="str">
        <f t="shared" si="3"/>
        <v>vis</v>
      </c>
      <c r="E31" s="50">
        <f>VLOOKUP(C31,'Active 2'!C$21:E$972,3,FALSE)</f>
        <v>26298.737091988129</v>
      </c>
      <c r="F31" s="3" t="s">
        <v>60</v>
      </c>
      <c r="G31" s="20" t="str">
        <f t="shared" si="4"/>
        <v>55393.5768</v>
      </c>
      <c r="H31" s="10">
        <f t="shared" si="5"/>
        <v>26297.5</v>
      </c>
      <c r="I31" s="51" t="s">
        <v>149</v>
      </c>
      <c r="J31" s="52" t="s">
        <v>150</v>
      </c>
      <c r="K31" s="51" t="s">
        <v>151</v>
      </c>
      <c r="L31" s="51" t="s">
        <v>152</v>
      </c>
      <c r="M31" s="52" t="s">
        <v>108</v>
      </c>
      <c r="N31" s="52" t="s">
        <v>146</v>
      </c>
      <c r="O31" s="53" t="s">
        <v>153</v>
      </c>
      <c r="P31" s="54" t="s">
        <v>148</v>
      </c>
    </row>
    <row r="32" spans="1:16" ht="12.75" customHeight="1" thickBot="1" x14ac:dyDescent="0.25">
      <c r="A32" s="10" t="str">
        <f t="shared" si="0"/>
        <v>BAVM 220 </v>
      </c>
      <c r="B32" s="3" t="str">
        <f t="shared" si="1"/>
        <v>II</v>
      </c>
      <c r="C32" s="10">
        <f t="shared" si="2"/>
        <v>55691.5553</v>
      </c>
      <c r="D32" s="20" t="str">
        <f t="shared" si="3"/>
        <v>vis</v>
      </c>
      <c r="E32" s="50">
        <f>VLOOKUP(C32,'Active 2'!C$21:E$972,3,FALSE)</f>
        <v>26740.841691394653</v>
      </c>
      <c r="F32" s="3" t="s">
        <v>60</v>
      </c>
      <c r="G32" s="20" t="str">
        <f t="shared" si="4"/>
        <v>55691.5553</v>
      </c>
      <c r="H32" s="10">
        <f t="shared" si="5"/>
        <v>26739.5</v>
      </c>
      <c r="I32" s="51" t="s">
        <v>154</v>
      </c>
      <c r="J32" s="52" t="s">
        <v>155</v>
      </c>
      <c r="K32" s="51" t="s">
        <v>156</v>
      </c>
      <c r="L32" s="51" t="s">
        <v>157</v>
      </c>
      <c r="M32" s="52" t="s">
        <v>108</v>
      </c>
      <c r="N32" s="52" t="s">
        <v>109</v>
      </c>
      <c r="O32" s="53" t="s">
        <v>129</v>
      </c>
      <c r="P32" s="54" t="s">
        <v>158</v>
      </c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</sheetData>
  <phoneticPr fontId="8" type="noConversion"/>
  <hyperlinks>
    <hyperlink ref="P19" r:id="rId1" display="http://www.konkoly.hu/cgi-bin/IBVS?4750" xr:uid="{00000000-0004-0000-0100-000000000000}"/>
    <hyperlink ref="P22" r:id="rId2" display="http://www.bav-astro.de/sfs/BAVM_link.php?BAVMnr=178" xr:uid="{00000000-0004-0000-0100-000001000000}"/>
    <hyperlink ref="P23" r:id="rId3" display="http://var.astro.cz/oejv/issues/oejv0074.pdf" xr:uid="{00000000-0004-0000-0100-000002000000}"/>
    <hyperlink ref="P27" r:id="rId4" display="http://www.konkoly.hu/cgi-bin/IBVS?6007" xr:uid="{00000000-0004-0000-0100-000003000000}"/>
    <hyperlink ref="P24" r:id="rId5" display="http://www.bav-astro.de/sfs/BAVM_link.php?BAVMnr=186" xr:uid="{00000000-0004-0000-0100-000004000000}"/>
    <hyperlink ref="P28" r:id="rId6" display="http://www.bav-astro.de/sfs/BAVM_link.php?BAVMnr=212" xr:uid="{00000000-0004-0000-0100-000005000000}"/>
    <hyperlink ref="P29" r:id="rId7" display="http://var.astro.cz/oejv/issues/oejv0137.pdf" xr:uid="{00000000-0004-0000-0100-000006000000}"/>
    <hyperlink ref="P30" r:id="rId8" display="http://www.bav-astro.de/sfs/BAVM_link.php?BAVMnr=214" xr:uid="{00000000-0004-0000-0100-000007000000}"/>
    <hyperlink ref="P31" r:id="rId9" display="http://www.bav-astro.de/sfs/BAVM_link.php?BAVMnr=214" xr:uid="{00000000-0004-0000-0100-000008000000}"/>
    <hyperlink ref="P32" r:id="rId10" display="http://www.bav-astro.de/sfs/BAVM_link.php?BAVMnr=220" xr:uid="{00000000-0004-0000-0100-000009000000}"/>
    <hyperlink ref="P25" r:id="rId11" display="http://var.astro.cz/oejv/issues/oejv0160.pdf" xr:uid="{00000000-0004-0000-0100-00000A000000}"/>
    <hyperlink ref="P26" r:id="rId12" display="http://www.bav-astro.de/sfs/BAVM_link.php?BAVMnr=232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2024-08-22T04:49:41Z</dcterms:modified>
</cp:coreProperties>
</file>