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228D6C-CC48-43F8-82AE-63F4E16211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2" i="1"/>
  <c r="G32" i="2"/>
  <c r="C32" i="2"/>
  <c r="G17" i="2"/>
  <c r="C17" i="2"/>
  <c r="G16" i="2"/>
  <c r="C16" i="2"/>
  <c r="G15" i="2"/>
  <c r="C15" i="2"/>
  <c r="G14" i="2"/>
  <c r="C14" i="2"/>
  <c r="G13" i="2"/>
  <c r="C13" i="2"/>
  <c r="G12" i="2"/>
  <c r="C1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1" i="2"/>
  <c r="C11" i="2"/>
  <c r="H32" i="2"/>
  <c r="B32" i="2"/>
  <c r="D32" i="2"/>
  <c r="A32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1" i="2"/>
  <c r="B11" i="2"/>
  <c r="D11" i="2"/>
  <c r="A11" i="2"/>
  <c r="Q40" i="1"/>
  <c r="Q41" i="1"/>
  <c r="F17" i="1"/>
  <c r="F18" i="1" s="1"/>
  <c r="F19" i="1" s="1"/>
  <c r="C17" i="1"/>
  <c r="C7" i="1"/>
  <c r="E22" i="1"/>
  <c r="C8" i="1"/>
  <c r="Q38" i="1"/>
  <c r="Q39" i="1"/>
  <c r="Q36" i="1"/>
  <c r="Q37" i="1"/>
  <c r="Q21" i="1"/>
  <c r="E12" i="2"/>
  <c r="F22" i="1"/>
  <c r="E18" i="2"/>
  <c r="E24" i="2"/>
  <c r="E25" i="2"/>
  <c r="E17" i="2"/>
  <c r="E39" i="1"/>
  <c r="E32" i="1"/>
  <c r="F32" i="1"/>
  <c r="G32" i="1"/>
  <c r="I32" i="1"/>
  <c r="E24" i="1"/>
  <c r="F24" i="1"/>
  <c r="G24" i="1"/>
  <c r="I24" i="1"/>
  <c r="E36" i="1"/>
  <c r="F36" i="1"/>
  <c r="G36" i="1"/>
  <c r="J36" i="1"/>
  <c r="E29" i="1"/>
  <c r="F29" i="1"/>
  <c r="G29" i="1"/>
  <c r="I29" i="1"/>
  <c r="E41" i="1"/>
  <c r="F41" i="1"/>
  <c r="G41" i="1"/>
  <c r="J41" i="1"/>
  <c r="E34" i="1"/>
  <c r="F34" i="1"/>
  <c r="G34" i="1"/>
  <c r="I34" i="1"/>
  <c r="E26" i="1"/>
  <c r="F26" i="1"/>
  <c r="G26" i="1"/>
  <c r="I26" i="1"/>
  <c r="E38" i="1"/>
  <c r="F38" i="1"/>
  <c r="G38" i="1"/>
  <c r="J38" i="1"/>
  <c r="E31" i="1"/>
  <c r="E23" i="1"/>
  <c r="E42" i="1"/>
  <c r="F42" i="1"/>
  <c r="G42" i="1"/>
  <c r="I42" i="1"/>
  <c r="E28" i="1"/>
  <c r="F28" i="1"/>
  <c r="G28" i="1"/>
  <c r="I28" i="1"/>
  <c r="E40" i="1"/>
  <c r="F40" i="1"/>
  <c r="G40" i="1"/>
  <c r="J40" i="1"/>
  <c r="E33" i="1"/>
  <c r="F33" i="1"/>
  <c r="G33" i="1"/>
  <c r="I33" i="1"/>
  <c r="E25" i="1"/>
  <c r="F25" i="1"/>
  <c r="G25" i="1"/>
  <c r="I25" i="1"/>
  <c r="G22" i="1"/>
  <c r="I22" i="1"/>
  <c r="E37" i="1"/>
  <c r="F37" i="1"/>
  <c r="G37" i="1"/>
  <c r="J37" i="1"/>
  <c r="E30" i="1"/>
  <c r="E21" i="1"/>
  <c r="F21" i="1"/>
  <c r="E35" i="1"/>
  <c r="E27" i="1"/>
  <c r="E19" i="2"/>
  <c r="F23" i="1"/>
  <c r="G23" i="1"/>
  <c r="I23" i="1"/>
  <c r="E16" i="2"/>
  <c r="E28" i="2"/>
  <c r="F35" i="1"/>
  <c r="G35" i="1"/>
  <c r="I35" i="1"/>
  <c r="E31" i="2"/>
  <c r="E30" i="2"/>
  <c r="E11" i="2"/>
  <c r="E27" i="2"/>
  <c r="F31" i="1"/>
  <c r="G31" i="1"/>
  <c r="I31" i="1"/>
  <c r="E20" i="2"/>
  <c r="E32" i="2"/>
  <c r="F39" i="1"/>
  <c r="G39" i="1"/>
  <c r="J39" i="1"/>
  <c r="E15" i="2"/>
  <c r="E29" i="2"/>
  <c r="F30" i="1"/>
  <c r="G30" i="1"/>
  <c r="I30" i="1"/>
  <c r="E26" i="2"/>
  <c r="F27" i="1"/>
  <c r="G27" i="1"/>
  <c r="I27" i="1"/>
  <c r="E23" i="2"/>
  <c r="E14" i="2"/>
  <c r="E21" i="2"/>
  <c r="E13" i="2"/>
  <c r="E22" i="2"/>
  <c r="C12" i="1"/>
  <c r="C16" i="1"/>
  <c r="D18" i="1"/>
  <c r="C11" i="1"/>
  <c r="O26" i="1"/>
  <c r="O34" i="1"/>
  <c r="O37" i="1"/>
  <c r="C15" i="1"/>
  <c r="O29" i="1"/>
  <c r="O40" i="1"/>
  <c r="O24" i="1"/>
  <c r="O32" i="1"/>
  <c r="O27" i="1"/>
  <c r="O35" i="1"/>
  <c r="O38" i="1"/>
  <c r="O22" i="1"/>
  <c r="O30" i="1"/>
  <c r="O41" i="1"/>
  <c r="O21" i="1"/>
  <c r="O25" i="1"/>
  <c r="O33" i="1"/>
  <c r="O39" i="1"/>
  <c r="O28" i="1"/>
  <c r="O42" i="1"/>
  <c r="O23" i="1"/>
  <c r="O31" i="1"/>
  <c r="O36" i="1"/>
  <c r="C18" i="1"/>
</calcChain>
</file>

<file path=xl/sharedStrings.xml><?xml version="1.0" encoding="utf-8"?>
<sst xmlns="http://schemas.openxmlformats.org/spreadsheetml/2006/main" count="268" uniqueCount="134">
  <si>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</si>
  <si>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</si>
  <si>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</si>
  <si>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</si>
  <si>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</si>
  <si>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</si>
  <si>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</si>
  <si>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</si>
  <si>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</si>
  <si>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</si>
  <si>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</si>
  <si>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</si>
  <si>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</si>
  <si>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</si>
  <si>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</si>
  <si>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</si>
  <si>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</si>
  <si>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</si>
  <si>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</si>
  <si>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</si>
  <si>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</si>
  <si>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</si>
  <si>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</si>
  <si>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</si>
  <si>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</si>
  <si>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</si>
  <si>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</si>
  <si>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</si>
  <si>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5484</t>
  </si>
  <si>
    <t>IBVS 5016</t>
  </si>
  <si>
    <t>IBVS 5296</t>
  </si>
  <si>
    <t># of data points:</t>
  </si>
  <si>
    <t>EB/KE</t>
  </si>
  <si>
    <t>V1196 Cyg / GSC 03941-00807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</si>
  <si>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</si>
  <si>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</si>
  <si>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</si>
  <si>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</si>
  <si>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</si>
  <si>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</si>
  <si>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</si>
  <si>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</si>
  <si>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</si>
  <si>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</si>
  <si>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</si>
  <si>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</si>
  <si>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</si>
  <si>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</si>
  <si>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</si>
  <si>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</si>
  <si>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</si>
  <si>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2426655.248 </t>
  </si>
  <si>
    <t> 09.11.1931 17:57 </t>
  </si>
  <si>
    <t> 0.000 </t>
  </si>
  <si>
    <t>P </t>
  </si>
  <si>
    <t> H.Gessner </t>
  </si>
  <si>
    <t> VSS 7.116 </t>
  </si>
  <si>
    <t>2427360.384 </t>
  </si>
  <si>
    <t> 14.10.1933 21:12 </t>
  </si>
  <si>
    <t> 0.069 </t>
  </si>
  <si>
    <t>2427699.536 </t>
  </si>
  <si>
    <t> 19.09.1934 00:51 </t>
  </si>
  <si>
    <t> -0.022 </t>
  </si>
  <si>
    <t>2431913.456 </t>
  </si>
  <si>
    <t> 02.04.1946 22:56 </t>
  </si>
  <si>
    <t> -0.050 </t>
  </si>
  <si>
    <t>2431932.433 </t>
  </si>
  <si>
    <t> 21.04.1946 22:23 </t>
  </si>
  <si>
    <t> -0.060 </t>
  </si>
  <si>
    <t>2432117.376 </t>
  </si>
  <si>
    <t> 23.10.1946 21:01 </t>
  </si>
  <si>
    <t> 0.072 </t>
  </si>
  <si>
    <t>2432289.477 </t>
  </si>
  <si>
    <t> 13.04.1947 23:26 </t>
  </si>
  <si>
    <t> 0.020 </t>
  </si>
  <si>
    <t>2434251.482 </t>
  </si>
  <si>
    <t> 26.08.1952 23:34 </t>
  </si>
  <si>
    <t> -0.012 </t>
  </si>
  <si>
    <t>2434451.550 </t>
  </si>
  <si>
    <t> 15.03.1953 01:12 </t>
  </si>
  <si>
    <t> 0.055 </t>
  </si>
  <si>
    <t>2434475.524 </t>
  </si>
  <si>
    <t> 08.04.1953 00:34 </t>
  </si>
  <si>
    <t>2434503.399 </t>
  </si>
  <si>
    <t> 05.05.1953 21:34 </t>
  </si>
  <si>
    <t> 0.005 </t>
  </si>
  <si>
    <t>2434513.428 </t>
  </si>
  <si>
    <t> 15.05.1953 22:16 </t>
  </si>
  <si>
    <t> -0.093 </t>
  </si>
  <si>
    <t>2437669.224 </t>
  </si>
  <si>
    <t> 04.01.1962 17:22 </t>
  </si>
  <si>
    <t> -0.011 </t>
  </si>
  <si>
    <t>2437932.55 </t>
  </si>
  <si>
    <t> 25.09.1962 01:12 </t>
  </si>
  <si>
    <t> 0.02 </t>
  </si>
  <si>
    <t>2437946.50 </t>
  </si>
  <si>
    <t> 09.10.1962 00:00 </t>
  </si>
  <si>
    <t> 0.05 </t>
  </si>
  <si>
    <t>2451398.4943 </t>
  </si>
  <si>
    <t> 07.08.1999 23:51 </t>
  </si>
  <si>
    <t> 0.0673 </t>
  </si>
  <si>
    <t>E </t>
  </si>
  <si>
    <t>o</t>
  </si>
  <si>
    <t> F.Agerer </t>
  </si>
  <si>
    <t>BAVM 132 </t>
  </si>
  <si>
    <t>2451469.3821 </t>
  </si>
  <si>
    <t> 17.10.1999 21:10 </t>
  </si>
  <si>
    <t> 0.0686 </t>
  </si>
  <si>
    <t>2452117.4861 </t>
  </si>
  <si>
    <t> 26.07.2001 23:39 </t>
  </si>
  <si>
    <t> 0.0676 </t>
  </si>
  <si>
    <t>BAVM 152 </t>
  </si>
  <si>
    <t>2452455.4633 </t>
  </si>
  <si>
    <t> 29.06.2002 23:07 </t>
  </si>
  <si>
    <t> 0.0682 </t>
  </si>
  <si>
    <t>-I</t>
  </si>
  <si>
    <t>BAVM 158 </t>
  </si>
  <si>
    <t>2452836.4858 </t>
  </si>
  <si>
    <t> 15.07.2003 23:39 </t>
  </si>
  <si>
    <t>20683</t>
  </si>
  <si>
    <t> 0.0759 </t>
  </si>
  <si>
    <t>C </t>
  </si>
  <si>
    <t>BAVM 186 </t>
  </si>
  <si>
    <t>2454260.5287 </t>
  </si>
  <si>
    <t> 09.06.2007 00:41 </t>
  </si>
  <si>
    <t>21808</t>
  </si>
  <si>
    <t> 0.0601 </t>
  </si>
  <si>
    <t>2455265.6146 </t>
  </si>
  <si>
    <t> 10.03.2010 02:45 </t>
  </si>
  <si>
    <t>22602</t>
  </si>
  <si>
    <t> 0.0769 </t>
  </si>
  <si>
    <t> W.Moschner &amp; P.Frank </t>
  </si>
  <si>
    <t>BAVM 214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</si>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</sst>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4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4" fillId="2" borderId="12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V1196 Cyg - O-C Diagr.</a:t>
            </a:r>
          </a:p>
        </c:rich>
      </c:tx>
      <c:layout>
        <c:manualLayout>
          <c:xMode val="edge"/>
          <c:yMode val="edge"/>
          <c:x val="0.3161159193943732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01-4920-95FB-7CCDD2F051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6.8690000000060536E-2</c:v>
                </c:pt>
                <c:pt idx="2">
                  <c:v>-2.1749999999883585E-2</c:v>
                </c:pt>
                <c:pt idx="3">
                  <c:v>-4.9820000000181608E-2</c:v>
                </c:pt>
                <c:pt idx="4">
                  <c:v>-6.0269999998126877E-2</c:v>
                </c:pt>
                <c:pt idx="5">
                  <c:v>7.1550000000570435E-2</c:v>
                </c:pt>
                <c:pt idx="6">
                  <c:v>1.9670000001497101E-2</c:v>
                </c:pt>
                <c:pt idx="7">
                  <c:v>-1.1829999995825347E-2</c:v>
                </c:pt>
                <c:pt idx="8">
                  <c:v>5.5030000003171153E-2</c:v>
                </c:pt>
                <c:pt idx="9">
                  <c:v>-2.1740000003774185E-2</c:v>
                </c:pt>
                <c:pt idx="10">
                  <c:v>4.9999999973806553E-3</c:v>
                </c:pt>
                <c:pt idx="11">
                  <c:v>-9.2640000002575107E-2</c:v>
                </c:pt>
                <c:pt idx="12">
                  <c:v>-1.0829999999259599E-2</c:v>
                </c:pt>
                <c:pt idx="13">
                  <c:v>2.2530000002007E-2</c:v>
                </c:pt>
                <c:pt idx="14">
                  <c:v>4.8399999999674037E-2</c:v>
                </c:pt>
                <c:pt idx="21">
                  <c:v>7.6939999999012798E-2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01-4920-95FB-7CCDD2F051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5">
                  <c:v>6.7289999999047723E-2</c:v>
                </c:pt>
                <c:pt idx="16">
                  <c:v>6.8610000002081506E-2</c:v>
                </c:pt>
                <c:pt idx="17">
                  <c:v>6.7650000004505273E-2</c:v>
                </c:pt>
                <c:pt idx="18">
                  <c:v>6.8240000007790513E-2</c:v>
                </c:pt>
                <c:pt idx="19">
                  <c:v>7.5910000006842893E-2</c:v>
                </c:pt>
                <c:pt idx="20">
                  <c:v>6.0060000003431924E-2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01-4920-95FB-7CCDD2F051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01-4920-95FB-7CCDD2F051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01-4920-95FB-7CCDD2F051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01-4920-95FB-7CCDD2F051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01-4920-95FB-7CCDD2F051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-1.8429886163642321E-2</c:v>
                </c:pt>
                <c:pt idx="1">
                  <c:v>-1.6172153469780948E-2</c:v>
                </c:pt>
                <c:pt idx="2">
                  <c:v>-1.5085847613488584E-2</c:v>
                </c:pt>
                <c:pt idx="3">
                  <c:v>-1.5921453911106505E-3</c:v>
                </c:pt>
                <c:pt idx="4">
                  <c:v>-1.5313446901987667E-3</c:v>
                </c:pt>
                <c:pt idx="5">
                  <c:v>-9.3955120132307307E-4</c:v>
                </c:pt>
                <c:pt idx="6">
                  <c:v>-3.8829151305530551E-4</c:v>
                </c:pt>
                <c:pt idx="7">
                  <c:v>5.8944475811729298E-3</c:v>
                </c:pt>
                <c:pt idx="8">
                  <c:v>6.5348816307781304E-3</c:v>
                </c:pt>
                <c:pt idx="9">
                  <c:v>6.6118958519331868E-3</c:v>
                </c:pt>
                <c:pt idx="10">
                  <c:v>6.7010702132706164E-3</c:v>
                </c:pt>
                <c:pt idx="11">
                  <c:v>6.7334972537569579E-3</c:v>
                </c:pt>
                <c:pt idx="12">
                  <c:v>1.6838573745312432E-2</c:v>
                </c:pt>
                <c:pt idx="13">
                  <c:v>1.7681676797957256E-2</c:v>
                </c:pt>
                <c:pt idx="14">
                  <c:v>1.7726263978625971E-2</c:v>
                </c:pt>
                <c:pt idx="15">
                  <c:v>6.0801533884666907E-2</c:v>
                </c:pt>
                <c:pt idx="16">
                  <c:v>6.1028523168071287E-2</c:v>
                </c:pt>
                <c:pt idx="17">
                  <c:v>6.3103853759196998E-2</c:v>
                </c:pt>
                <c:pt idx="18">
                  <c:v>6.4186106235428558E-2</c:v>
                </c:pt>
                <c:pt idx="19">
                  <c:v>6.5406173633727083E-2</c:v>
                </c:pt>
                <c:pt idx="20">
                  <c:v>6.9966226202118537E-2</c:v>
                </c:pt>
                <c:pt idx="21">
                  <c:v>7.3184609970387726E-2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01-4920-95FB-7CCDD2F0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0648"/>
        <c:axId val="1"/>
      </c:scatterChart>
      <c:valAx>
        <c:axId val="73646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9010433613153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V1196 Cyg - O-C Diagr.</a:t>
            </a:r>
          </a:p>
        </c:rich>
      </c:tx>
      <c:layout>
        <c:manualLayout>
          <c:xMode val="edge"/>
          <c:yMode val="edge"/>
          <c:x val="0.3175257731958762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1958762886599"/>
          <c:y val="0.14723926380368099"/>
          <c:w val="0.7587628865979381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3-4780-B439-CC39310DCF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6.8690000000060536E-2</c:v>
                </c:pt>
                <c:pt idx="2">
                  <c:v>-2.1749999999883585E-2</c:v>
                </c:pt>
                <c:pt idx="3">
                  <c:v>-4.9820000000181608E-2</c:v>
                </c:pt>
                <c:pt idx="4">
                  <c:v>-6.0269999998126877E-2</c:v>
                </c:pt>
                <c:pt idx="5">
                  <c:v>7.1550000000570435E-2</c:v>
                </c:pt>
                <c:pt idx="6">
                  <c:v>1.9670000001497101E-2</c:v>
                </c:pt>
                <c:pt idx="7">
                  <c:v>-1.1829999995825347E-2</c:v>
                </c:pt>
                <c:pt idx="8">
                  <c:v>5.5030000003171153E-2</c:v>
                </c:pt>
                <c:pt idx="9">
                  <c:v>-2.1740000003774185E-2</c:v>
                </c:pt>
                <c:pt idx="10">
                  <c:v>4.9999999973806553E-3</c:v>
                </c:pt>
                <c:pt idx="11">
                  <c:v>-9.2640000002575107E-2</c:v>
                </c:pt>
                <c:pt idx="12">
                  <c:v>-1.0829999999259599E-2</c:v>
                </c:pt>
                <c:pt idx="13">
                  <c:v>2.2530000002007E-2</c:v>
                </c:pt>
                <c:pt idx="14">
                  <c:v>4.8399999999674037E-2</c:v>
                </c:pt>
                <c:pt idx="21">
                  <c:v>7.6939999999012798E-2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43-4780-B439-CC39310DCF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5">
                  <c:v>6.7289999999047723E-2</c:v>
                </c:pt>
                <c:pt idx="16">
                  <c:v>6.8610000002081506E-2</c:v>
                </c:pt>
                <c:pt idx="17">
                  <c:v>6.7650000004505273E-2</c:v>
                </c:pt>
                <c:pt idx="18">
                  <c:v>6.8240000007790513E-2</c:v>
                </c:pt>
                <c:pt idx="19">
                  <c:v>7.5910000006842893E-2</c:v>
                </c:pt>
                <c:pt idx="20">
                  <c:v>6.0060000003431924E-2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43-4780-B439-CC39310DCF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43-4780-B439-CC39310DCF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43-4780-B439-CC39310DCF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43-4780-B439-CC39310DCF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1.1999999999999999E-3</c:v>
                  </c:pt>
                  <c:pt idx="16">
                    <c:v>4.0000000000000002E-4</c:v>
                  </c:pt>
                  <c:pt idx="17">
                    <c:v>6.9999999999999999E-4</c:v>
                  </c:pt>
                  <c:pt idx="18">
                    <c:v>6.9999999999999999E-4</c:v>
                  </c:pt>
                  <c:pt idx="19">
                    <c:v>1.8E-3</c:v>
                  </c:pt>
                  <c:pt idx="20">
                    <c:v>5.9999999999999995E-4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43-4780-B439-CC39310DCF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557</c:v>
                </c:pt>
                <c:pt idx="2">
                  <c:v>825</c:v>
                </c:pt>
                <c:pt idx="3">
                  <c:v>4154</c:v>
                </c:pt>
                <c:pt idx="4">
                  <c:v>4169</c:v>
                </c:pt>
                <c:pt idx="5">
                  <c:v>4315</c:v>
                </c:pt>
                <c:pt idx="6">
                  <c:v>4451</c:v>
                </c:pt>
                <c:pt idx="7">
                  <c:v>6001</c:v>
                </c:pt>
                <c:pt idx="8">
                  <c:v>6159</c:v>
                </c:pt>
                <c:pt idx="9">
                  <c:v>6178</c:v>
                </c:pt>
                <c:pt idx="10">
                  <c:v>6200</c:v>
                </c:pt>
                <c:pt idx="11">
                  <c:v>6208</c:v>
                </c:pt>
                <c:pt idx="12">
                  <c:v>8701</c:v>
                </c:pt>
                <c:pt idx="13">
                  <c:v>8909</c:v>
                </c:pt>
                <c:pt idx="14">
                  <c:v>8920</c:v>
                </c:pt>
                <c:pt idx="15">
                  <c:v>19547</c:v>
                </c:pt>
                <c:pt idx="16">
                  <c:v>19603</c:v>
                </c:pt>
                <c:pt idx="17">
                  <c:v>20115</c:v>
                </c:pt>
                <c:pt idx="18">
                  <c:v>20382</c:v>
                </c:pt>
                <c:pt idx="19">
                  <c:v>20683</c:v>
                </c:pt>
                <c:pt idx="20">
                  <c:v>21808</c:v>
                </c:pt>
                <c:pt idx="21">
                  <c:v>22602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-1.8429886163642321E-2</c:v>
                </c:pt>
                <c:pt idx="1">
                  <c:v>-1.6172153469780948E-2</c:v>
                </c:pt>
                <c:pt idx="2">
                  <c:v>-1.5085847613488584E-2</c:v>
                </c:pt>
                <c:pt idx="3">
                  <c:v>-1.5921453911106505E-3</c:v>
                </c:pt>
                <c:pt idx="4">
                  <c:v>-1.5313446901987667E-3</c:v>
                </c:pt>
                <c:pt idx="5">
                  <c:v>-9.3955120132307307E-4</c:v>
                </c:pt>
                <c:pt idx="6">
                  <c:v>-3.8829151305530551E-4</c:v>
                </c:pt>
                <c:pt idx="7">
                  <c:v>5.8944475811729298E-3</c:v>
                </c:pt>
                <c:pt idx="8">
                  <c:v>6.5348816307781304E-3</c:v>
                </c:pt>
                <c:pt idx="9">
                  <c:v>6.6118958519331868E-3</c:v>
                </c:pt>
                <c:pt idx="10">
                  <c:v>6.7010702132706164E-3</c:v>
                </c:pt>
                <c:pt idx="11">
                  <c:v>6.7334972537569579E-3</c:v>
                </c:pt>
                <c:pt idx="12">
                  <c:v>1.6838573745312432E-2</c:v>
                </c:pt>
                <c:pt idx="13">
                  <c:v>1.7681676797957256E-2</c:v>
                </c:pt>
                <c:pt idx="14">
                  <c:v>1.7726263978625971E-2</c:v>
                </c:pt>
                <c:pt idx="15">
                  <c:v>6.0801533884666907E-2</c:v>
                </c:pt>
                <c:pt idx="16">
                  <c:v>6.1028523168071287E-2</c:v>
                </c:pt>
                <c:pt idx="17">
                  <c:v>6.3103853759196998E-2</c:v>
                </c:pt>
                <c:pt idx="18">
                  <c:v>6.4186106235428558E-2</c:v>
                </c:pt>
                <c:pt idx="19">
                  <c:v>6.5406173633727083E-2</c:v>
                </c:pt>
                <c:pt idx="20">
                  <c:v>6.9966226202118537E-2</c:v>
                </c:pt>
                <c:pt idx="21">
                  <c:v>7.3184609970387726E-2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43-4780-B439-CC39310D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7128"/>
        <c:axId val="1"/>
      </c:scatterChart>
      <c:valAx>
        <c:axId val="736467128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50515463917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7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77319587628866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1</xdr:rowOff>
    </xdr:from>
    <xdr:to>
      <xdr:col>17</xdr:col>
      <xdr:colOff>171449</xdr:colOff>
      <xdr:row>17</xdr:row>
      <xdr:rowOff>171451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01493BB-BBCB-30DB-5001-05C7E70B2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361951</xdr:colOff>
      <xdr:row>0</xdr:row>
      <xdr:rowOff>19050</xdr:rowOff>
    </xdr:from>
    <xdr:to>
      <xdr:col>27</xdr:col>
      <xdr:colOff>285751</xdr:colOff>
      <xdr:row>17</xdr:row>
      <xdr:rowOff>171450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D1B3A51-2DAC-40E1-FC9C-CC5ADE50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52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32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12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6.710937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24</v>
      </c>
      <c r="B2" s="14" t="s">
        <v>32</v>
      </c>
    </row>
    <row r="4" spans="1:6" ht="14.25" thickTop="1" thickBot="1" x14ac:dyDescent="0.25">
      <c r="A4" s="7" t="s">
        <v>0</v>
      </c>
      <c r="C4" s="3">
        <v>26655.248</v>
      </c>
      <c r="D4" s="4">
        <v>1.26583</v>
      </c>
    </row>
    <row r="5" spans="1:6" ht="13.5" thickTop="1" x14ac:dyDescent="0.2">
      <c r="A5" s="15" t="s">
        <v>34</v>
      </c>
      <c r="B5" s="16"/>
      <c r="C5" s="17">
        <v>-9.5</v>
      </c>
      <c r="D5" s="16" t="s">
        <v>35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26655.248</v>
      </c>
    </row>
    <row r="8" spans="1:6" x14ac:dyDescent="0.2">
      <c r="A8" t="s">
        <v>3</v>
      </c>
      <c r="C8">
        <f>+D4</f>
        <v>1.26583</v>
      </c>
    </row>
    <row r="9" spans="1:6" x14ac:dyDescent="0.2">
      <c r="B9"/>
    </row>
    <row r="10" spans="1:6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6" x14ac:dyDescent="0.2">
      <c r="A11" s="16" t="s">
        <v>16</v>
      </c>
      <c r="B11" s="16"/>
      <c r="C11" s="16">
        <f>INTERCEPT(G21:G998,F21:F998)</f>
        <v>-1.8429886163642321E-2</v>
      </c>
      <c r="D11" s="5"/>
      <c r="E11" s="16"/>
    </row>
    <row r="12" spans="1:6" x14ac:dyDescent="0.2">
      <c r="A12" s="16" t="s">
        <v>17</v>
      </c>
      <c r="B12" s="16"/>
      <c r="C12" s="16">
        <f>SLOPE(G21:G998,F21:F998)</f>
        <v>4.0533800607924096E-6</v>
      </c>
      <c r="D12" s="5"/>
      <c r="E12" s="16"/>
    </row>
    <row r="13" spans="1:6" x14ac:dyDescent="0.2">
      <c r="A13" s="16" t="s">
        <v>19</v>
      </c>
      <c r="B13" s="16"/>
      <c r="C13" s="5" t="s">
        <v>14</v>
      </c>
    </row>
    <row r="14" spans="1:6" x14ac:dyDescent="0.2">
      <c r="A14" s="16"/>
      <c r="B14" s="16"/>
      <c r="C14" s="16"/>
    </row>
    <row r="15" spans="1:6" x14ac:dyDescent="0.2">
      <c r="A15" s="18" t="s">
        <v>18</v>
      </c>
      <c r="B15" s="16"/>
      <c r="C15" s="19">
        <f>(C7+C11)+(C8+C12)*INT(MAX(F21:F3533))</f>
        <v>55265.610844609968</v>
      </c>
      <c r="E15" s="5"/>
      <c r="F15" s="16"/>
    </row>
    <row r="16" spans="1:6" x14ac:dyDescent="0.2">
      <c r="A16" s="22" t="s">
        <v>4</v>
      </c>
      <c r="B16" s="16"/>
      <c r="C16" s="23">
        <f>+C8+C12</f>
        <v>1.2658340533800607</v>
      </c>
      <c r="E16" s="16"/>
      <c r="F16" s="16"/>
    </row>
    <row r="17" spans="1:17" ht="13.5" thickBot="1" x14ac:dyDescent="0.25">
      <c r="A17" s="20" t="s">
        <v>31</v>
      </c>
      <c r="B17" s="16"/>
      <c r="C17" s="16">
        <f>COUNT(C21:C2191)</f>
        <v>22</v>
      </c>
      <c r="E17" s="20" t="s">
        <v>36</v>
      </c>
      <c r="F17" s="21">
        <f ca="1">TODAY()+15018.5-B5/24</f>
        <v>60344.5</v>
      </c>
    </row>
    <row r="18" spans="1:17" ht="14.25" thickTop="1" thickBot="1" x14ac:dyDescent="0.25">
      <c r="A18" s="22" t="s">
        <v>5</v>
      </c>
      <c r="B18" s="16"/>
      <c r="C18" s="25">
        <f>+C15</f>
        <v>55265.610844609968</v>
      </c>
      <c r="D18" s="26">
        <f>+C16</f>
        <v>1.2658340533800607</v>
      </c>
      <c r="E18" s="20" t="s">
        <v>37</v>
      </c>
      <c r="F18" s="21">
        <f ca="1">ROUND(2*(F17-C15)/C16,0)/2+1</f>
        <v>4013.5</v>
      </c>
    </row>
    <row r="19" spans="1:17" ht="13.5" thickTop="1" x14ac:dyDescent="0.2">
      <c r="E19" s="20" t="s">
        <v>38</v>
      </c>
      <c r="F19" s="24">
        <f ca="1">+C15+C16*F18-15018.5-C5/24</f>
        <v>45327.931651184175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47</v>
      </c>
      <c r="I20" s="9" t="s">
        <v>50</v>
      </c>
      <c r="J20" s="9" t="s">
        <v>44</v>
      </c>
      <c r="K20" s="9" t="s">
        <v>42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0">
        <v>26655.248</v>
      </c>
      <c r="D21" s="10" t="s">
        <v>14</v>
      </c>
      <c r="E21">
        <f t="shared" ref="E21:E42" si="0">+(C21-C$7)/C$8</f>
        <v>0</v>
      </c>
      <c r="F21">
        <f t="shared" ref="F21:F42" si="1">ROUND(2*E21,0)/2</f>
        <v>0</v>
      </c>
      <c r="H21">
        <v>0</v>
      </c>
      <c r="O21">
        <f t="shared" ref="O21:O42" si="2">+C$11+C$12*F21</f>
        <v>-1.8429886163642321E-2</v>
      </c>
      <c r="Q21" s="2">
        <f t="shared" ref="Q21:Q42" si="3">+C21-15018.5</f>
        <v>11636.748</v>
      </c>
    </row>
    <row r="22" spans="1:17" x14ac:dyDescent="0.2">
      <c r="A22" s="41" t="s">
        <v>56</v>
      </c>
      <c r="B22" s="42" t="s">
        <v>133</v>
      </c>
      <c r="C22" s="43">
        <v>27360.383999999998</v>
      </c>
      <c r="D22" s="43" t="s">
        <v>50</v>
      </c>
      <c r="E22">
        <f t="shared" si="0"/>
        <v>557.05426479068956</v>
      </c>
      <c r="F22">
        <f t="shared" si="1"/>
        <v>557</v>
      </c>
      <c r="G22">
        <f t="shared" ref="G22:G42" si="4">+C22-(C$7+F22*C$8)</f>
        <v>6.8690000000060536E-2</v>
      </c>
      <c r="I22">
        <f t="shared" ref="I22:I35" si="5">G22</f>
        <v>6.8690000000060536E-2</v>
      </c>
      <c r="O22">
        <f t="shared" si="2"/>
        <v>-1.6172153469780948E-2</v>
      </c>
      <c r="Q22" s="2">
        <f t="shared" si="3"/>
        <v>12341.883999999998</v>
      </c>
    </row>
    <row r="23" spans="1:17" x14ac:dyDescent="0.2">
      <c r="A23" s="41" t="s">
        <v>56</v>
      </c>
      <c r="B23" s="42" t="s">
        <v>133</v>
      </c>
      <c r="C23" s="43">
        <v>27699.536</v>
      </c>
      <c r="D23" s="43" t="s">
        <v>50</v>
      </c>
      <c r="E23">
        <f t="shared" si="0"/>
        <v>824.98281759794008</v>
      </c>
      <c r="F23">
        <f t="shared" si="1"/>
        <v>825</v>
      </c>
      <c r="G23">
        <f t="shared" si="4"/>
        <v>-2.1749999999883585E-2</v>
      </c>
      <c r="I23">
        <f t="shared" si="5"/>
        <v>-2.1749999999883585E-2</v>
      </c>
      <c r="O23">
        <f t="shared" si="2"/>
        <v>-1.5085847613488584E-2</v>
      </c>
      <c r="Q23" s="2">
        <f t="shared" si="3"/>
        <v>12681.036</v>
      </c>
    </row>
    <row r="24" spans="1:17" x14ac:dyDescent="0.2">
      <c r="A24" s="41" t="s">
        <v>56</v>
      </c>
      <c r="B24" s="42" t="s">
        <v>133</v>
      </c>
      <c r="C24" s="43">
        <v>31913.455999999998</v>
      </c>
      <c r="D24" s="43" t="s">
        <v>50</v>
      </c>
      <c r="E24">
        <f t="shared" si="0"/>
        <v>4153.9606424243375</v>
      </c>
      <c r="F24">
        <f t="shared" si="1"/>
        <v>4154</v>
      </c>
      <c r="G24">
        <f t="shared" si="4"/>
        <v>-4.9820000000181608E-2</v>
      </c>
      <c r="I24">
        <f t="shared" si="5"/>
        <v>-4.9820000000181608E-2</v>
      </c>
      <c r="O24">
        <f t="shared" si="2"/>
        <v>-1.5921453911106505E-3</v>
      </c>
      <c r="Q24" s="2">
        <f t="shared" si="3"/>
        <v>16894.955999999998</v>
      </c>
    </row>
    <row r="25" spans="1:17" x14ac:dyDescent="0.2">
      <c r="A25" s="41" t="s">
        <v>56</v>
      </c>
      <c r="B25" s="42" t="s">
        <v>133</v>
      </c>
      <c r="C25" s="43">
        <v>31932.433000000001</v>
      </c>
      <c r="D25" s="43" t="s">
        <v>50</v>
      </c>
      <c r="E25">
        <f t="shared" si="0"/>
        <v>4168.9523869713948</v>
      </c>
      <c r="F25">
        <f t="shared" si="1"/>
        <v>4169</v>
      </c>
      <c r="G25">
        <f t="shared" si="4"/>
        <v>-6.0269999998126877E-2</v>
      </c>
      <c r="I25">
        <f t="shared" si="5"/>
        <v>-6.0269999998126877E-2</v>
      </c>
      <c r="O25">
        <f t="shared" si="2"/>
        <v>-1.5313446901987667E-3</v>
      </c>
      <c r="Q25" s="2">
        <f t="shared" si="3"/>
        <v>16913.933000000001</v>
      </c>
    </row>
    <row r="26" spans="1:17" x14ac:dyDescent="0.2">
      <c r="A26" s="41" t="s">
        <v>56</v>
      </c>
      <c r="B26" s="42" t="s">
        <v>133</v>
      </c>
      <c r="C26" s="43">
        <v>32117.376</v>
      </c>
      <c r="D26" s="43" t="s">
        <v>50</v>
      </c>
      <c r="E26">
        <f t="shared" si="0"/>
        <v>4315.0565241778122</v>
      </c>
      <c r="F26">
        <f t="shared" si="1"/>
        <v>4315</v>
      </c>
      <c r="G26">
        <f t="shared" si="4"/>
        <v>7.1550000000570435E-2</v>
      </c>
      <c r="I26">
        <f t="shared" si="5"/>
        <v>7.1550000000570435E-2</v>
      </c>
      <c r="O26">
        <f t="shared" si="2"/>
        <v>-9.3955120132307307E-4</v>
      </c>
      <c r="Q26" s="2">
        <f t="shared" si="3"/>
        <v>17098.876</v>
      </c>
    </row>
    <row r="27" spans="1:17" x14ac:dyDescent="0.2">
      <c r="A27" s="41" t="s">
        <v>56</v>
      </c>
      <c r="B27" s="42" t="s">
        <v>133</v>
      </c>
      <c r="C27" s="43">
        <v>32289.476999999999</v>
      </c>
      <c r="D27" s="43" t="s">
        <v>50</v>
      </c>
      <c r="E27">
        <f t="shared" si="0"/>
        <v>4451.0155392114257</v>
      </c>
      <c r="F27">
        <f t="shared" si="1"/>
        <v>4451</v>
      </c>
      <c r="G27">
        <f t="shared" si="4"/>
        <v>1.9670000001497101E-2</v>
      </c>
      <c r="I27">
        <f t="shared" si="5"/>
        <v>1.9670000001497101E-2</v>
      </c>
      <c r="O27">
        <f t="shared" si="2"/>
        <v>-3.8829151305530551E-4</v>
      </c>
      <c r="Q27" s="2">
        <f t="shared" si="3"/>
        <v>17270.976999999999</v>
      </c>
    </row>
    <row r="28" spans="1:17" x14ac:dyDescent="0.2">
      <c r="A28" s="41" t="s">
        <v>56</v>
      </c>
      <c r="B28" s="42" t="s">
        <v>133</v>
      </c>
      <c r="C28" s="43">
        <v>34251.482000000004</v>
      </c>
      <c r="D28" s="43" t="s">
        <v>50</v>
      </c>
      <c r="E28">
        <f t="shared" si="0"/>
        <v>6000.9906543532734</v>
      </c>
      <c r="F28">
        <f t="shared" si="1"/>
        <v>6001</v>
      </c>
      <c r="G28">
        <f t="shared" si="4"/>
        <v>-1.1829999995825347E-2</v>
      </c>
      <c r="I28">
        <f t="shared" si="5"/>
        <v>-1.1829999995825347E-2</v>
      </c>
      <c r="O28">
        <f t="shared" si="2"/>
        <v>5.8944475811729298E-3</v>
      </c>
      <c r="Q28" s="2">
        <f t="shared" si="3"/>
        <v>19232.982000000004</v>
      </c>
    </row>
    <row r="29" spans="1:17" x14ac:dyDescent="0.2">
      <c r="A29" s="41" t="s">
        <v>56</v>
      </c>
      <c r="B29" s="42" t="s">
        <v>133</v>
      </c>
      <c r="C29" s="43">
        <v>34451.550000000003</v>
      </c>
      <c r="D29" s="43" t="s">
        <v>50</v>
      </c>
      <c r="E29">
        <f t="shared" si="0"/>
        <v>6159.0434734522041</v>
      </c>
      <c r="F29">
        <f t="shared" si="1"/>
        <v>6159</v>
      </c>
      <c r="G29">
        <f t="shared" si="4"/>
        <v>5.5030000003171153E-2</v>
      </c>
      <c r="I29">
        <f t="shared" si="5"/>
        <v>5.5030000003171153E-2</v>
      </c>
      <c r="O29">
        <f t="shared" si="2"/>
        <v>6.5348816307781304E-3</v>
      </c>
      <c r="Q29" s="2">
        <f t="shared" si="3"/>
        <v>19433.050000000003</v>
      </c>
    </row>
    <row r="30" spans="1:17" x14ac:dyDescent="0.2">
      <c r="A30" s="41" t="s">
        <v>56</v>
      </c>
      <c r="B30" s="42" t="s">
        <v>133</v>
      </c>
      <c r="C30" s="43">
        <v>34475.523999999998</v>
      </c>
      <c r="D30" s="43" t="s">
        <v>50</v>
      </c>
      <c r="E30">
        <f t="shared" si="0"/>
        <v>6177.9828254978929</v>
      </c>
      <c r="F30">
        <f t="shared" si="1"/>
        <v>6178</v>
      </c>
      <c r="G30">
        <f t="shared" si="4"/>
        <v>-2.1740000003774185E-2</v>
      </c>
      <c r="I30">
        <f t="shared" si="5"/>
        <v>-2.1740000003774185E-2</v>
      </c>
      <c r="O30">
        <f t="shared" si="2"/>
        <v>6.6118958519331868E-3</v>
      </c>
      <c r="Q30" s="2">
        <f t="shared" si="3"/>
        <v>19457.023999999998</v>
      </c>
    </row>
    <row r="31" spans="1:17" x14ac:dyDescent="0.2">
      <c r="A31" s="41" t="s">
        <v>56</v>
      </c>
      <c r="B31" s="42" t="s">
        <v>133</v>
      </c>
      <c r="C31" s="43">
        <v>34503.398999999998</v>
      </c>
      <c r="D31" s="43" t="s">
        <v>50</v>
      </c>
      <c r="E31">
        <f t="shared" si="0"/>
        <v>6200.0039499774839</v>
      </c>
      <c r="F31">
        <f t="shared" si="1"/>
        <v>6200</v>
      </c>
      <c r="G31">
        <f t="shared" si="4"/>
        <v>4.9999999973806553E-3</v>
      </c>
      <c r="I31">
        <f t="shared" si="5"/>
        <v>4.9999999973806553E-3</v>
      </c>
      <c r="O31">
        <f t="shared" si="2"/>
        <v>6.7010702132706164E-3</v>
      </c>
      <c r="Q31" s="2">
        <f t="shared" si="3"/>
        <v>19484.898999999998</v>
      </c>
    </row>
    <row r="32" spans="1:17" x14ac:dyDescent="0.2">
      <c r="A32" s="41" t="s">
        <v>56</v>
      </c>
      <c r="B32" s="42" t="s">
        <v>133</v>
      </c>
      <c r="C32" s="43">
        <v>34513.428</v>
      </c>
      <c r="D32" s="43" t="s">
        <v>50</v>
      </c>
      <c r="E32">
        <f t="shared" si="0"/>
        <v>6207.9268148171559</v>
      </c>
      <c r="F32">
        <f t="shared" si="1"/>
        <v>6208</v>
      </c>
      <c r="G32">
        <f t="shared" si="4"/>
        <v>-9.2640000002575107E-2</v>
      </c>
      <c r="I32">
        <f t="shared" si="5"/>
        <v>-9.2640000002575107E-2</v>
      </c>
      <c r="O32">
        <f t="shared" si="2"/>
        <v>6.7334972537569579E-3</v>
      </c>
      <c r="Q32" s="2">
        <f t="shared" si="3"/>
        <v>19494.928</v>
      </c>
    </row>
    <row r="33" spans="1:17" x14ac:dyDescent="0.2">
      <c r="A33" s="41" t="s">
        <v>56</v>
      </c>
      <c r="B33" s="42" t="s">
        <v>133</v>
      </c>
      <c r="C33" s="43">
        <v>37669.224000000002</v>
      </c>
      <c r="D33" s="43" t="s">
        <v>50</v>
      </c>
      <c r="E33">
        <f t="shared" si="0"/>
        <v>8700.9914443487687</v>
      </c>
      <c r="F33">
        <f t="shared" si="1"/>
        <v>8701</v>
      </c>
      <c r="G33">
        <f t="shared" si="4"/>
        <v>-1.0829999999259599E-2</v>
      </c>
      <c r="I33">
        <f t="shared" si="5"/>
        <v>-1.0829999999259599E-2</v>
      </c>
      <c r="O33">
        <f t="shared" si="2"/>
        <v>1.6838573745312432E-2</v>
      </c>
      <c r="Q33" s="2">
        <f t="shared" si="3"/>
        <v>22650.724000000002</v>
      </c>
    </row>
    <row r="34" spans="1:17" x14ac:dyDescent="0.2">
      <c r="A34" s="41" t="s">
        <v>56</v>
      </c>
      <c r="B34" s="42" t="s">
        <v>133</v>
      </c>
      <c r="C34" s="43">
        <v>37932.550000000003</v>
      </c>
      <c r="D34" s="43" t="s">
        <v>50</v>
      </c>
      <c r="E34">
        <f t="shared" si="0"/>
        <v>8909.0177985985501</v>
      </c>
      <c r="F34">
        <f t="shared" si="1"/>
        <v>8909</v>
      </c>
      <c r="G34">
        <f t="shared" si="4"/>
        <v>2.2530000002007E-2</v>
      </c>
      <c r="I34">
        <f t="shared" si="5"/>
        <v>2.2530000002007E-2</v>
      </c>
      <c r="O34">
        <f t="shared" si="2"/>
        <v>1.7681676797957256E-2</v>
      </c>
      <c r="Q34" s="2">
        <f t="shared" si="3"/>
        <v>22914.050000000003</v>
      </c>
    </row>
    <row r="35" spans="1:17" x14ac:dyDescent="0.2">
      <c r="A35" s="41" t="s">
        <v>56</v>
      </c>
      <c r="B35" s="42" t="s">
        <v>133</v>
      </c>
      <c r="C35" s="43">
        <v>37946.5</v>
      </c>
      <c r="D35" s="43" t="s">
        <v>50</v>
      </c>
      <c r="E35">
        <f t="shared" si="0"/>
        <v>8920.0382357820563</v>
      </c>
      <c r="F35">
        <f t="shared" si="1"/>
        <v>8920</v>
      </c>
      <c r="G35">
        <f t="shared" si="4"/>
        <v>4.8399999999674037E-2</v>
      </c>
      <c r="I35">
        <f t="shared" si="5"/>
        <v>4.8399999999674037E-2</v>
      </c>
      <c r="O35">
        <f t="shared" si="2"/>
        <v>1.7726263978625971E-2</v>
      </c>
      <c r="Q35" s="2">
        <f t="shared" si="3"/>
        <v>22928</v>
      </c>
    </row>
    <row r="36" spans="1:17" x14ac:dyDescent="0.2">
      <c r="A36" t="s">
        <v>29</v>
      </c>
      <c r="B36" s="10"/>
      <c r="C36" s="10">
        <v>51398.494299999998</v>
      </c>
      <c r="D36" s="10">
        <v>1.1999999999999999E-3</v>
      </c>
      <c r="E36">
        <f t="shared" si="0"/>
        <v>19547.053158796993</v>
      </c>
      <c r="F36">
        <f t="shared" si="1"/>
        <v>19547</v>
      </c>
      <c r="G36">
        <f t="shared" si="4"/>
        <v>6.7289999999047723E-2</v>
      </c>
      <c r="H36" s="11"/>
      <c r="J36">
        <f t="shared" ref="J36:J41" si="6">G36</f>
        <v>6.7289999999047723E-2</v>
      </c>
      <c r="O36">
        <f t="shared" si="2"/>
        <v>6.0801533884666907E-2</v>
      </c>
      <c r="Q36" s="2">
        <f t="shared" si="3"/>
        <v>36379.994299999998</v>
      </c>
    </row>
    <row r="37" spans="1:17" x14ac:dyDescent="0.2">
      <c r="A37" t="s">
        <v>29</v>
      </c>
      <c r="B37" s="11"/>
      <c r="C37" s="10">
        <v>51469.382100000003</v>
      </c>
      <c r="D37" s="10">
        <v>4.0000000000000002E-4</v>
      </c>
      <c r="E37">
        <f t="shared" si="0"/>
        <v>19603.054201591054</v>
      </c>
      <c r="F37">
        <f t="shared" si="1"/>
        <v>19603</v>
      </c>
      <c r="G37">
        <f t="shared" si="4"/>
        <v>6.8610000002081506E-2</v>
      </c>
      <c r="H37" s="11"/>
      <c r="J37">
        <f t="shared" si="6"/>
        <v>6.8610000002081506E-2</v>
      </c>
      <c r="O37">
        <f t="shared" si="2"/>
        <v>6.1028523168071287E-2</v>
      </c>
      <c r="Q37" s="2">
        <f t="shared" si="3"/>
        <v>36450.882100000003</v>
      </c>
    </row>
    <row r="38" spans="1:17" x14ac:dyDescent="0.2">
      <c r="A38" s="12" t="s">
        <v>30</v>
      </c>
      <c r="B38" s="11"/>
      <c r="C38" s="13">
        <v>52117.486100000002</v>
      </c>
      <c r="D38" s="13">
        <v>6.9999999999999999E-4</v>
      </c>
      <c r="E38">
        <f t="shared" si="0"/>
        <v>20115.053443195375</v>
      </c>
      <c r="F38">
        <f t="shared" si="1"/>
        <v>20115</v>
      </c>
      <c r="G38">
        <f t="shared" si="4"/>
        <v>6.7650000004505273E-2</v>
      </c>
      <c r="H38" s="11"/>
      <c r="J38">
        <f t="shared" si="6"/>
        <v>6.7650000004505273E-2</v>
      </c>
      <c r="O38">
        <f t="shared" si="2"/>
        <v>6.3103853759196998E-2</v>
      </c>
      <c r="Q38" s="2">
        <f t="shared" si="3"/>
        <v>37098.986100000002</v>
      </c>
    </row>
    <row r="39" spans="1:17" x14ac:dyDescent="0.2">
      <c r="A39" t="s">
        <v>28</v>
      </c>
      <c r="C39" s="10">
        <v>52455.463300000003</v>
      </c>
      <c r="D39" s="10">
        <v>6.9999999999999999E-4</v>
      </c>
      <c r="E39">
        <f t="shared" si="0"/>
        <v>20382.053909292721</v>
      </c>
      <c r="F39">
        <f t="shared" si="1"/>
        <v>20382</v>
      </c>
      <c r="G39">
        <f t="shared" si="4"/>
        <v>6.8240000007790513E-2</v>
      </c>
      <c r="J39">
        <f t="shared" si="6"/>
        <v>6.8240000007790513E-2</v>
      </c>
      <c r="O39">
        <f t="shared" si="2"/>
        <v>6.4186106235428558E-2</v>
      </c>
      <c r="Q39" s="2">
        <f t="shared" si="3"/>
        <v>37436.963300000003</v>
      </c>
    </row>
    <row r="40" spans="1:17" x14ac:dyDescent="0.2">
      <c r="A40" s="12" t="s">
        <v>39</v>
      </c>
      <c r="B40" s="27"/>
      <c r="C40" s="10">
        <v>52836.485800000002</v>
      </c>
      <c r="D40" s="10">
        <v>1.8E-3</v>
      </c>
      <c r="E40">
        <f t="shared" si="0"/>
        <v>20683.05996855818</v>
      </c>
      <c r="F40">
        <f t="shared" si="1"/>
        <v>20683</v>
      </c>
      <c r="G40">
        <f t="shared" si="4"/>
        <v>7.5910000006842893E-2</v>
      </c>
      <c r="J40">
        <f t="shared" si="6"/>
        <v>7.5910000006842893E-2</v>
      </c>
      <c r="O40">
        <f t="shared" si="2"/>
        <v>6.5406173633727083E-2</v>
      </c>
      <c r="Q40" s="2">
        <f t="shared" si="3"/>
        <v>37817.985800000002</v>
      </c>
    </row>
    <row r="41" spans="1:17" x14ac:dyDescent="0.2">
      <c r="A41" s="12" t="s">
        <v>39</v>
      </c>
      <c r="B41" s="27"/>
      <c r="C41" s="10">
        <v>54260.528700000003</v>
      </c>
      <c r="D41" s="10">
        <v>5.9999999999999995E-4</v>
      </c>
      <c r="E41">
        <f t="shared" si="0"/>
        <v>21808.047447129553</v>
      </c>
      <c r="F41">
        <f t="shared" si="1"/>
        <v>21808</v>
      </c>
      <c r="G41">
        <f t="shared" si="4"/>
        <v>6.0060000003431924E-2</v>
      </c>
      <c r="J41">
        <f t="shared" si="6"/>
        <v>6.0060000003431924E-2</v>
      </c>
      <c r="O41">
        <f t="shared" si="2"/>
        <v>6.9966226202118537E-2</v>
      </c>
      <c r="Q41" s="2">
        <f t="shared" si="3"/>
        <v>39242.028700000003</v>
      </c>
    </row>
    <row r="42" spans="1:17" x14ac:dyDescent="0.2">
      <c r="A42" s="41" t="s">
        <v>132</v>
      </c>
      <c r="B42" s="42" t="s">
        <v>133</v>
      </c>
      <c r="C42" s="43">
        <v>55265.614600000001</v>
      </c>
      <c r="D42" s="43" t="s">
        <v>50</v>
      </c>
      <c r="E42">
        <f t="shared" si="0"/>
        <v>22602.060782253542</v>
      </c>
      <c r="F42">
        <f t="shared" si="1"/>
        <v>22602</v>
      </c>
      <c r="G42">
        <f t="shared" si="4"/>
        <v>7.6939999999012798E-2</v>
      </c>
      <c r="I42">
        <f>G42</f>
        <v>7.6939999999012798E-2</v>
      </c>
      <c r="O42">
        <f t="shared" si="2"/>
        <v>7.3184609970387726E-2</v>
      </c>
      <c r="Q42" s="2">
        <f t="shared" si="3"/>
        <v>40247.114600000001</v>
      </c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7"/>
  <sheetViews>
    <sheetView topLeftCell="A3" workbookViewId="0">
      <selection activeCell="A18" sqref="A18:D32"/>
    </sheetView>
  </sheetViews>
  <sheetFormatPr defaultRowHeight="12.75" x14ac:dyDescent="0.2"/>
  <cols>
    <col min="1" max="1" width="19.7109375" style="10" customWidth="1"/>
    <col min="2" max="2" width="4.42578125" style="16" customWidth="1"/>
    <col min="3" max="3" width="12.7109375" style="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28" t="s">
        <v>40</v>
      </c>
      <c r="I1" s="29" t="s">
        <v>41</v>
      </c>
      <c r="J1" s="30" t="s">
        <v>42</v>
      </c>
    </row>
    <row r="2" spans="1:16" x14ac:dyDescent="0.2">
      <c r="I2" s="31" t="s">
        <v>43</v>
      </c>
      <c r="J2" s="32" t="s">
        <v>44</v>
      </c>
    </row>
    <row r="3" spans="1:16" x14ac:dyDescent="0.2">
      <c r="A3" s="33" t="s">
        <v>45</v>
      </c>
      <c r="I3" s="31" t="s">
        <v>46</v>
      </c>
      <c r="J3" s="32" t="s">
        <v>47</v>
      </c>
    </row>
    <row r="4" spans="1:16" x14ac:dyDescent="0.2">
      <c r="I4" s="31" t="s">
        <v>48</v>
      </c>
      <c r="J4" s="32" t="s">
        <v>47</v>
      </c>
    </row>
    <row r="5" spans="1:16" ht="13.5" thickBot="1" x14ac:dyDescent="0.25">
      <c r="I5" s="34" t="s">
        <v>49</v>
      </c>
      <c r="J5" s="35" t="s">
        <v>50</v>
      </c>
    </row>
    <row r="10" spans="1:16" ht="13.5" thickBot="1" x14ac:dyDescent="0.25"/>
    <row r="11" spans="1:16" ht="12.75" customHeight="1" thickBot="1" x14ac:dyDescent="0.25">
      <c r="A11" s="10" t="str">
        <f t="shared" ref="A11:A32" si="0">P11</f>
        <v> VSS 7.116 </v>
      </c>
      <c r="B11" s="5" t="str">
        <f t="shared" ref="B11:B32" si="1">IF(H11=INT(H11),"I","II")</f>
        <v>I</v>
      </c>
      <c r="C11" s="10">
        <f t="shared" ref="C11:C32" si="2">1*G11</f>
        <v>26655.248</v>
      </c>
      <c r="D11" s="16" t="str">
        <f t="shared" ref="D11:D32" si="3">VLOOKUP(F11,I$1:J$5,2,FALSE)</f>
        <v>vis</v>
      </c>
      <c r="E11" s="36">
        <f>VLOOKUP(C11,Active!C$21:E$973,3,FALSE)</f>
        <v>0</v>
      </c>
      <c r="F11" s="5" t="s">
        <v>49</v>
      </c>
      <c r="G11" s="16" t="str">
        <f t="shared" ref="G11:G32" si="4">MID(I11,3,LEN(I11)-3)</f>
        <v>26655.248</v>
      </c>
      <c r="H11" s="10">
        <f t="shared" ref="H11:H32" si="5">1*K11</f>
        <v>0</v>
      </c>
      <c r="I11" s="37" t="s">
        <v>51</v>
      </c>
      <c r="J11" s="38" t="s">
        <v>52</v>
      </c>
      <c r="K11" s="37">
        <v>0</v>
      </c>
      <c r="L11" s="37" t="s">
        <v>53</v>
      </c>
      <c r="M11" s="38" t="s">
        <v>54</v>
      </c>
      <c r="N11" s="38"/>
      <c r="O11" s="39" t="s">
        <v>55</v>
      </c>
      <c r="P11" s="39" t="s">
        <v>56</v>
      </c>
    </row>
    <row r="12" spans="1:16" ht="12.75" customHeight="1" thickBot="1" x14ac:dyDescent="0.25">
      <c r="A12" s="10" t="str">
        <f t="shared" si="0"/>
        <v>BAVM 132 </v>
      </c>
      <c r="B12" s="5" t="str">
        <f t="shared" si="1"/>
        <v>I</v>
      </c>
      <c r="C12" s="10">
        <f t="shared" si="2"/>
        <v>51398.494299999998</v>
      </c>
      <c r="D12" s="16" t="str">
        <f t="shared" si="3"/>
        <v>vis</v>
      </c>
      <c r="E12" s="36">
        <f>VLOOKUP(C12,Active!C$21:E$973,3,FALSE)</f>
        <v>19547.053158796993</v>
      </c>
      <c r="F12" s="5" t="s">
        <v>49</v>
      </c>
      <c r="G12" s="16" t="str">
        <f t="shared" si="4"/>
        <v>51398.4943</v>
      </c>
      <c r="H12" s="10">
        <f t="shared" si="5"/>
        <v>19547</v>
      </c>
      <c r="I12" s="37" t="s">
        <v>98</v>
      </c>
      <c r="J12" s="38" t="s">
        <v>99</v>
      </c>
      <c r="K12" s="37">
        <v>19547</v>
      </c>
      <c r="L12" s="37" t="s">
        <v>100</v>
      </c>
      <c r="M12" s="38" t="s">
        <v>101</v>
      </c>
      <c r="N12" s="38" t="s">
        <v>102</v>
      </c>
      <c r="O12" s="39" t="s">
        <v>103</v>
      </c>
      <c r="P12" s="40" t="s">
        <v>104</v>
      </c>
    </row>
    <row r="13" spans="1:16" ht="12.75" customHeight="1" thickBot="1" x14ac:dyDescent="0.25">
      <c r="A13" s="10" t="str">
        <f t="shared" si="0"/>
        <v>BAVM 132 </v>
      </c>
      <c r="B13" s="5" t="str">
        <f t="shared" si="1"/>
        <v>I</v>
      </c>
      <c r="C13" s="10">
        <f t="shared" si="2"/>
        <v>51469.382100000003</v>
      </c>
      <c r="D13" s="16" t="str">
        <f t="shared" si="3"/>
        <v>vis</v>
      </c>
      <c r="E13" s="36">
        <f>VLOOKUP(C13,Active!C$21:E$973,3,FALSE)</f>
        <v>19603.054201591054</v>
      </c>
      <c r="F13" s="5" t="s">
        <v>49</v>
      </c>
      <c r="G13" s="16" t="str">
        <f t="shared" si="4"/>
        <v>51469.3821</v>
      </c>
      <c r="H13" s="10">
        <f t="shared" si="5"/>
        <v>19603</v>
      </c>
      <c r="I13" s="37" t="s">
        <v>105</v>
      </c>
      <c r="J13" s="38" t="s">
        <v>106</v>
      </c>
      <c r="K13" s="37">
        <v>19603</v>
      </c>
      <c r="L13" s="37" t="s">
        <v>107</v>
      </c>
      <c r="M13" s="38" t="s">
        <v>101</v>
      </c>
      <c r="N13" s="38" t="s">
        <v>102</v>
      </c>
      <c r="O13" s="39" t="s">
        <v>103</v>
      </c>
      <c r="P13" s="40" t="s">
        <v>104</v>
      </c>
    </row>
    <row r="14" spans="1:16" ht="12.75" customHeight="1" thickBot="1" x14ac:dyDescent="0.25">
      <c r="A14" s="10" t="str">
        <f t="shared" si="0"/>
        <v>BAVM 152 </v>
      </c>
      <c r="B14" s="5" t="str">
        <f t="shared" si="1"/>
        <v>I</v>
      </c>
      <c r="C14" s="10">
        <f t="shared" si="2"/>
        <v>52117.486100000002</v>
      </c>
      <c r="D14" s="16" t="str">
        <f t="shared" si="3"/>
        <v>vis</v>
      </c>
      <c r="E14" s="36">
        <f>VLOOKUP(C14,Active!C$21:E$973,3,FALSE)</f>
        <v>20115.053443195375</v>
      </c>
      <c r="F14" s="5" t="s">
        <v>49</v>
      </c>
      <c r="G14" s="16" t="str">
        <f t="shared" si="4"/>
        <v>52117.4861</v>
      </c>
      <c r="H14" s="10">
        <f t="shared" si="5"/>
        <v>20115</v>
      </c>
      <c r="I14" s="37" t="s">
        <v>108</v>
      </c>
      <c r="J14" s="38" t="s">
        <v>109</v>
      </c>
      <c r="K14" s="37">
        <v>20115</v>
      </c>
      <c r="L14" s="37" t="s">
        <v>110</v>
      </c>
      <c r="M14" s="38" t="s">
        <v>101</v>
      </c>
      <c r="N14" s="38" t="s">
        <v>102</v>
      </c>
      <c r="O14" s="39" t="s">
        <v>103</v>
      </c>
      <c r="P14" s="40" t="s">
        <v>111</v>
      </c>
    </row>
    <row r="15" spans="1:16" ht="12.75" customHeight="1" thickBot="1" x14ac:dyDescent="0.25">
      <c r="A15" s="10" t="str">
        <f t="shared" si="0"/>
        <v>BAVM 158 </v>
      </c>
      <c r="B15" s="5" t="str">
        <f t="shared" si="1"/>
        <v>I</v>
      </c>
      <c r="C15" s="10">
        <f t="shared" si="2"/>
        <v>52455.463300000003</v>
      </c>
      <c r="D15" s="16" t="str">
        <f t="shared" si="3"/>
        <v>vis</v>
      </c>
      <c r="E15" s="36">
        <f>VLOOKUP(C15,Active!C$21:E$973,3,FALSE)</f>
        <v>20382.053909292721</v>
      </c>
      <c r="F15" s="5" t="s">
        <v>49</v>
      </c>
      <c r="G15" s="16" t="str">
        <f t="shared" si="4"/>
        <v>52455.4633</v>
      </c>
      <c r="H15" s="10">
        <f t="shared" si="5"/>
        <v>20382</v>
      </c>
      <c r="I15" s="37" t="s">
        <v>112</v>
      </c>
      <c r="J15" s="38" t="s">
        <v>113</v>
      </c>
      <c r="K15" s="37">
        <v>20382</v>
      </c>
      <c r="L15" s="37" t="s">
        <v>114</v>
      </c>
      <c r="M15" s="38" t="s">
        <v>101</v>
      </c>
      <c r="N15" s="38" t="s">
        <v>115</v>
      </c>
      <c r="O15" s="39" t="s">
        <v>103</v>
      </c>
      <c r="P15" s="40" t="s">
        <v>116</v>
      </c>
    </row>
    <row r="16" spans="1:16" ht="12.75" customHeight="1" thickBot="1" x14ac:dyDescent="0.25">
      <c r="A16" s="10" t="str">
        <f t="shared" si="0"/>
        <v>BAVM 186 </v>
      </c>
      <c r="B16" s="5" t="str">
        <f t="shared" si="1"/>
        <v>I</v>
      </c>
      <c r="C16" s="10">
        <f t="shared" si="2"/>
        <v>52836.485800000002</v>
      </c>
      <c r="D16" s="16" t="str">
        <f t="shared" si="3"/>
        <v>vis</v>
      </c>
      <c r="E16" s="36">
        <f>VLOOKUP(C16,Active!C$21:E$973,3,FALSE)</f>
        <v>20683.05996855818</v>
      </c>
      <c r="F16" s="5" t="s">
        <v>49</v>
      </c>
      <c r="G16" s="16" t="str">
        <f t="shared" si="4"/>
        <v>52836.4858</v>
      </c>
      <c r="H16" s="10">
        <f t="shared" si="5"/>
        <v>20683</v>
      </c>
      <c r="I16" s="37" t="s">
        <v>117</v>
      </c>
      <c r="J16" s="38" t="s">
        <v>118</v>
      </c>
      <c r="K16" s="37" t="s">
        <v>119</v>
      </c>
      <c r="L16" s="37" t="s">
        <v>120</v>
      </c>
      <c r="M16" s="38" t="s">
        <v>121</v>
      </c>
      <c r="N16" s="38" t="s">
        <v>115</v>
      </c>
      <c r="O16" s="39" t="s">
        <v>103</v>
      </c>
      <c r="P16" s="40" t="s">
        <v>122</v>
      </c>
    </row>
    <row r="17" spans="1:16" ht="12.75" customHeight="1" thickBot="1" x14ac:dyDescent="0.25">
      <c r="A17" s="10" t="str">
        <f t="shared" si="0"/>
        <v>BAVM 186 </v>
      </c>
      <c r="B17" s="5" t="str">
        <f t="shared" si="1"/>
        <v>I</v>
      </c>
      <c r="C17" s="10">
        <f t="shared" si="2"/>
        <v>54260.528700000003</v>
      </c>
      <c r="D17" s="16" t="str">
        <f t="shared" si="3"/>
        <v>vis</v>
      </c>
      <c r="E17" s="36">
        <f>VLOOKUP(C17,Active!C$21:E$973,3,FALSE)</f>
        <v>21808.047447129553</v>
      </c>
      <c r="F17" s="5" t="s">
        <v>49</v>
      </c>
      <c r="G17" s="16" t="str">
        <f t="shared" si="4"/>
        <v>54260.5287</v>
      </c>
      <c r="H17" s="10">
        <f t="shared" si="5"/>
        <v>21808</v>
      </c>
      <c r="I17" s="37" t="s">
        <v>123</v>
      </c>
      <c r="J17" s="38" t="s">
        <v>124</v>
      </c>
      <c r="K17" s="37" t="s">
        <v>125</v>
      </c>
      <c r="L17" s="37" t="s">
        <v>126</v>
      </c>
      <c r="M17" s="38" t="s">
        <v>121</v>
      </c>
      <c r="N17" s="38" t="s">
        <v>115</v>
      </c>
      <c r="O17" s="39" t="s">
        <v>103</v>
      </c>
      <c r="P17" s="40" t="s">
        <v>122</v>
      </c>
    </row>
    <row r="18" spans="1:16" ht="12.75" customHeight="1" thickBot="1" x14ac:dyDescent="0.25">
      <c r="A18" s="10" t="str">
        <f t="shared" si="0"/>
        <v> VSS 7.116 </v>
      </c>
      <c r="B18" s="5" t="str">
        <f t="shared" si="1"/>
        <v>I</v>
      </c>
      <c r="C18" s="10">
        <f t="shared" si="2"/>
        <v>27360.383999999998</v>
      </c>
      <c r="D18" s="16" t="str">
        <f t="shared" si="3"/>
        <v>vis</v>
      </c>
      <c r="E18" s="36">
        <f>VLOOKUP(C18,Active!C$21:E$973,3,FALSE)</f>
        <v>557.05426479068956</v>
      </c>
      <c r="F18" s="5" t="s">
        <v>49</v>
      </c>
      <c r="G18" s="16" t="str">
        <f t="shared" si="4"/>
        <v>27360.384</v>
      </c>
      <c r="H18" s="10">
        <f t="shared" si="5"/>
        <v>557</v>
      </c>
      <c r="I18" s="37" t="s">
        <v>57</v>
      </c>
      <c r="J18" s="38" t="s">
        <v>58</v>
      </c>
      <c r="K18" s="37">
        <v>557</v>
      </c>
      <c r="L18" s="37" t="s">
        <v>59</v>
      </c>
      <c r="M18" s="38" t="s">
        <v>54</v>
      </c>
      <c r="N18" s="38"/>
      <c r="O18" s="39" t="s">
        <v>55</v>
      </c>
      <c r="P18" s="39" t="s">
        <v>56</v>
      </c>
    </row>
    <row r="19" spans="1:16" ht="12.75" customHeight="1" thickBot="1" x14ac:dyDescent="0.25">
      <c r="A19" s="10" t="str">
        <f t="shared" si="0"/>
        <v> VSS 7.116 </v>
      </c>
      <c r="B19" s="5" t="str">
        <f t="shared" si="1"/>
        <v>I</v>
      </c>
      <c r="C19" s="10">
        <f t="shared" si="2"/>
        <v>27699.536</v>
      </c>
      <c r="D19" s="16" t="str">
        <f t="shared" si="3"/>
        <v>vis</v>
      </c>
      <c r="E19" s="36">
        <f>VLOOKUP(C19,Active!C$21:E$973,3,FALSE)</f>
        <v>824.98281759794008</v>
      </c>
      <c r="F19" s="5" t="s">
        <v>49</v>
      </c>
      <c r="G19" s="16" t="str">
        <f t="shared" si="4"/>
        <v>27699.536</v>
      </c>
      <c r="H19" s="10">
        <f t="shared" si="5"/>
        <v>825</v>
      </c>
      <c r="I19" s="37" t="s">
        <v>60</v>
      </c>
      <c r="J19" s="38" t="s">
        <v>61</v>
      </c>
      <c r="K19" s="37">
        <v>825</v>
      </c>
      <c r="L19" s="37" t="s">
        <v>62</v>
      </c>
      <c r="M19" s="38" t="s">
        <v>54</v>
      </c>
      <c r="N19" s="38"/>
      <c r="O19" s="39" t="s">
        <v>55</v>
      </c>
      <c r="P19" s="39" t="s">
        <v>56</v>
      </c>
    </row>
    <row r="20" spans="1:16" ht="12.75" customHeight="1" thickBot="1" x14ac:dyDescent="0.25">
      <c r="A20" s="10" t="str">
        <f t="shared" si="0"/>
        <v> VSS 7.116 </v>
      </c>
      <c r="B20" s="5" t="str">
        <f t="shared" si="1"/>
        <v>I</v>
      </c>
      <c r="C20" s="10">
        <f t="shared" si="2"/>
        <v>31913.455999999998</v>
      </c>
      <c r="D20" s="16" t="str">
        <f t="shared" si="3"/>
        <v>vis</v>
      </c>
      <c r="E20" s="36">
        <f>VLOOKUP(C20,Active!C$21:E$973,3,FALSE)</f>
        <v>4153.9606424243375</v>
      </c>
      <c r="F20" s="5" t="s">
        <v>49</v>
      </c>
      <c r="G20" s="16" t="str">
        <f t="shared" si="4"/>
        <v>31913.456</v>
      </c>
      <c r="H20" s="10">
        <f t="shared" si="5"/>
        <v>4154</v>
      </c>
      <c r="I20" s="37" t="s">
        <v>63</v>
      </c>
      <c r="J20" s="38" t="s">
        <v>64</v>
      </c>
      <c r="K20" s="37">
        <v>4154</v>
      </c>
      <c r="L20" s="37" t="s">
        <v>65</v>
      </c>
      <c r="M20" s="38" t="s">
        <v>54</v>
      </c>
      <c r="N20" s="38"/>
      <c r="O20" s="39" t="s">
        <v>55</v>
      </c>
      <c r="P20" s="39" t="s">
        <v>56</v>
      </c>
    </row>
    <row r="21" spans="1:16" ht="12.75" customHeight="1" thickBot="1" x14ac:dyDescent="0.25">
      <c r="A21" s="10" t="str">
        <f t="shared" si="0"/>
        <v> VSS 7.116 </v>
      </c>
      <c r="B21" s="5" t="str">
        <f t="shared" si="1"/>
        <v>I</v>
      </c>
      <c r="C21" s="10">
        <f t="shared" si="2"/>
        <v>31932.433000000001</v>
      </c>
      <c r="D21" s="16" t="str">
        <f t="shared" si="3"/>
        <v>vis</v>
      </c>
      <c r="E21" s="36">
        <f>VLOOKUP(C21,Active!C$21:E$973,3,FALSE)</f>
        <v>4168.9523869713948</v>
      </c>
      <c r="F21" s="5" t="s">
        <v>49</v>
      </c>
      <c r="G21" s="16" t="str">
        <f t="shared" si="4"/>
        <v>31932.433</v>
      </c>
      <c r="H21" s="10">
        <f t="shared" si="5"/>
        <v>4169</v>
      </c>
      <c r="I21" s="37" t="s">
        <v>66</v>
      </c>
      <c r="J21" s="38" t="s">
        <v>67</v>
      </c>
      <c r="K21" s="37">
        <v>4169</v>
      </c>
      <c r="L21" s="37" t="s">
        <v>68</v>
      </c>
      <c r="M21" s="38" t="s">
        <v>54</v>
      </c>
      <c r="N21" s="38"/>
      <c r="O21" s="39" t="s">
        <v>55</v>
      </c>
      <c r="P21" s="39" t="s">
        <v>56</v>
      </c>
    </row>
    <row r="22" spans="1:16" ht="12.75" customHeight="1" thickBot="1" x14ac:dyDescent="0.25">
      <c r="A22" s="10" t="str">
        <f t="shared" si="0"/>
        <v> VSS 7.116 </v>
      </c>
      <c r="B22" s="5" t="str">
        <f t="shared" si="1"/>
        <v>I</v>
      </c>
      <c r="C22" s="10">
        <f t="shared" si="2"/>
        <v>32117.376</v>
      </c>
      <c r="D22" s="16" t="str">
        <f t="shared" si="3"/>
        <v>vis</v>
      </c>
      <c r="E22" s="36">
        <f>VLOOKUP(C22,Active!C$21:E$973,3,FALSE)</f>
        <v>4315.0565241778122</v>
      </c>
      <c r="F22" s="5" t="s">
        <v>49</v>
      </c>
      <c r="G22" s="16" t="str">
        <f t="shared" si="4"/>
        <v>32117.376</v>
      </c>
      <c r="H22" s="10">
        <f t="shared" si="5"/>
        <v>4315</v>
      </c>
      <c r="I22" s="37" t="s">
        <v>69</v>
      </c>
      <c r="J22" s="38" t="s">
        <v>70</v>
      </c>
      <c r="K22" s="37">
        <v>4315</v>
      </c>
      <c r="L22" s="37" t="s">
        <v>71</v>
      </c>
      <c r="M22" s="38" t="s">
        <v>54</v>
      </c>
      <c r="N22" s="38"/>
      <c r="O22" s="39" t="s">
        <v>55</v>
      </c>
      <c r="P22" s="39" t="s">
        <v>56</v>
      </c>
    </row>
    <row r="23" spans="1:16" ht="12.75" customHeight="1" thickBot="1" x14ac:dyDescent="0.25">
      <c r="A23" s="10" t="str">
        <f t="shared" si="0"/>
        <v> VSS 7.116 </v>
      </c>
      <c r="B23" s="5" t="str">
        <f t="shared" si="1"/>
        <v>I</v>
      </c>
      <c r="C23" s="10">
        <f t="shared" si="2"/>
        <v>32289.476999999999</v>
      </c>
      <c r="D23" s="16" t="str">
        <f t="shared" si="3"/>
        <v>vis</v>
      </c>
      <c r="E23" s="36">
        <f>VLOOKUP(C23,Active!C$21:E$973,3,FALSE)</f>
        <v>4451.0155392114257</v>
      </c>
      <c r="F23" s="5" t="s">
        <v>49</v>
      </c>
      <c r="G23" s="16" t="str">
        <f t="shared" si="4"/>
        <v>32289.477</v>
      </c>
      <c r="H23" s="10">
        <f t="shared" si="5"/>
        <v>4451</v>
      </c>
      <c r="I23" s="37" t="s">
        <v>72</v>
      </c>
      <c r="J23" s="38" t="s">
        <v>73</v>
      </c>
      <c r="K23" s="37">
        <v>4451</v>
      </c>
      <c r="L23" s="37" t="s">
        <v>74</v>
      </c>
      <c r="M23" s="38" t="s">
        <v>54</v>
      </c>
      <c r="N23" s="38"/>
      <c r="O23" s="39" t="s">
        <v>55</v>
      </c>
      <c r="P23" s="39" t="s">
        <v>56</v>
      </c>
    </row>
    <row r="24" spans="1:16" ht="12.75" customHeight="1" thickBot="1" x14ac:dyDescent="0.25">
      <c r="A24" s="10" t="str">
        <f t="shared" si="0"/>
        <v> VSS 7.116 </v>
      </c>
      <c r="B24" s="5" t="str">
        <f t="shared" si="1"/>
        <v>I</v>
      </c>
      <c r="C24" s="10">
        <f t="shared" si="2"/>
        <v>34251.482000000004</v>
      </c>
      <c r="D24" s="16" t="str">
        <f t="shared" si="3"/>
        <v>vis</v>
      </c>
      <c r="E24" s="36">
        <f>VLOOKUP(C24,Active!C$21:E$973,3,FALSE)</f>
        <v>6000.9906543532734</v>
      </c>
      <c r="F24" s="5" t="s">
        <v>49</v>
      </c>
      <c r="G24" s="16" t="str">
        <f t="shared" si="4"/>
        <v>34251.482</v>
      </c>
      <c r="H24" s="10">
        <f t="shared" si="5"/>
        <v>6001</v>
      </c>
      <c r="I24" s="37" t="s">
        <v>75</v>
      </c>
      <c r="J24" s="38" t="s">
        <v>76</v>
      </c>
      <c r="K24" s="37">
        <v>6001</v>
      </c>
      <c r="L24" s="37" t="s">
        <v>77</v>
      </c>
      <c r="M24" s="38" t="s">
        <v>54</v>
      </c>
      <c r="N24" s="38"/>
      <c r="O24" s="39" t="s">
        <v>55</v>
      </c>
      <c r="P24" s="39" t="s">
        <v>56</v>
      </c>
    </row>
    <row r="25" spans="1:16" ht="12.75" customHeight="1" thickBot="1" x14ac:dyDescent="0.25">
      <c r="A25" s="10" t="str">
        <f t="shared" si="0"/>
        <v> VSS 7.116 </v>
      </c>
      <c r="B25" s="5" t="str">
        <f t="shared" si="1"/>
        <v>I</v>
      </c>
      <c r="C25" s="10">
        <f t="shared" si="2"/>
        <v>34451.550000000003</v>
      </c>
      <c r="D25" s="16" t="str">
        <f t="shared" si="3"/>
        <v>vis</v>
      </c>
      <c r="E25" s="36">
        <f>VLOOKUP(C25,Active!C$21:E$973,3,FALSE)</f>
        <v>6159.0434734522041</v>
      </c>
      <c r="F25" s="5" t="s">
        <v>49</v>
      </c>
      <c r="G25" s="16" t="str">
        <f t="shared" si="4"/>
        <v>34451.550</v>
      </c>
      <c r="H25" s="10">
        <f t="shared" si="5"/>
        <v>6159</v>
      </c>
      <c r="I25" s="37" t="s">
        <v>78</v>
      </c>
      <c r="J25" s="38" t="s">
        <v>79</v>
      </c>
      <c r="K25" s="37">
        <v>6159</v>
      </c>
      <c r="L25" s="37" t="s">
        <v>80</v>
      </c>
      <c r="M25" s="38" t="s">
        <v>54</v>
      </c>
      <c r="N25" s="38"/>
      <c r="O25" s="39" t="s">
        <v>55</v>
      </c>
      <c r="P25" s="39" t="s">
        <v>56</v>
      </c>
    </row>
    <row r="26" spans="1:16" ht="12.75" customHeight="1" thickBot="1" x14ac:dyDescent="0.25">
      <c r="A26" s="10" t="str">
        <f t="shared" si="0"/>
        <v> VSS 7.116 </v>
      </c>
      <c r="B26" s="5" t="str">
        <f t="shared" si="1"/>
        <v>I</v>
      </c>
      <c r="C26" s="10">
        <f t="shared" si="2"/>
        <v>34475.523999999998</v>
      </c>
      <c r="D26" s="16" t="str">
        <f t="shared" si="3"/>
        <v>vis</v>
      </c>
      <c r="E26" s="36">
        <f>VLOOKUP(C26,Active!C$21:E$973,3,FALSE)</f>
        <v>6177.9828254978929</v>
      </c>
      <c r="F26" s="5" t="s">
        <v>49</v>
      </c>
      <c r="G26" s="16" t="str">
        <f t="shared" si="4"/>
        <v>34475.524</v>
      </c>
      <c r="H26" s="10">
        <f t="shared" si="5"/>
        <v>6178</v>
      </c>
      <c r="I26" s="37" t="s">
        <v>81</v>
      </c>
      <c r="J26" s="38" t="s">
        <v>82</v>
      </c>
      <c r="K26" s="37">
        <v>6178</v>
      </c>
      <c r="L26" s="37" t="s">
        <v>62</v>
      </c>
      <c r="M26" s="38" t="s">
        <v>54</v>
      </c>
      <c r="N26" s="38"/>
      <c r="O26" s="39" t="s">
        <v>55</v>
      </c>
      <c r="P26" s="39" t="s">
        <v>56</v>
      </c>
    </row>
    <row r="27" spans="1:16" ht="12.75" customHeight="1" thickBot="1" x14ac:dyDescent="0.25">
      <c r="A27" s="10" t="str">
        <f t="shared" si="0"/>
        <v> VSS 7.116 </v>
      </c>
      <c r="B27" s="5" t="str">
        <f t="shared" si="1"/>
        <v>I</v>
      </c>
      <c r="C27" s="10">
        <f t="shared" si="2"/>
        <v>34503.398999999998</v>
      </c>
      <c r="D27" s="16" t="str">
        <f t="shared" si="3"/>
        <v>vis</v>
      </c>
      <c r="E27" s="36">
        <f>VLOOKUP(C27,Active!C$21:E$973,3,FALSE)</f>
        <v>6200.0039499774839</v>
      </c>
      <c r="F27" s="5" t="s">
        <v>49</v>
      </c>
      <c r="G27" s="16" t="str">
        <f t="shared" si="4"/>
        <v>34503.399</v>
      </c>
      <c r="H27" s="10">
        <f t="shared" si="5"/>
        <v>6200</v>
      </c>
      <c r="I27" s="37" t="s">
        <v>83</v>
      </c>
      <c r="J27" s="38" t="s">
        <v>84</v>
      </c>
      <c r="K27" s="37">
        <v>6200</v>
      </c>
      <c r="L27" s="37" t="s">
        <v>85</v>
      </c>
      <c r="M27" s="38" t="s">
        <v>54</v>
      </c>
      <c r="N27" s="38"/>
      <c r="O27" s="39" t="s">
        <v>55</v>
      </c>
      <c r="P27" s="39" t="s">
        <v>56</v>
      </c>
    </row>
    <row r="28" spans="1:16" ht="12.75" customHeight="1" thickBot="1" x14ac:dyDescent="0.25">
      <c r="A28" s="10" t="str">
        <f t="shared" si="0"/>
        <v> VSS 7.116 </v>
      </c>
      <c r="B28" s="5" t="str">
        <f t="shared" si="1"/>
        <v>I</v>
      </c>
      <c r="C28" s="10">
        <f t="shared" si="2"/>
        <v>34513.428</v>
      </c>
      <c r="D28" s="16" t="str">
        <f t="shared" si="3"/>
        <v>vis</v>
      </c>
      <c r="E28" s="36">
        <f>VLOOKUP(C28,Active!C$21:E$973,3,FALSE)</f>
        <v>6207.9268148171559</v>
      </c>
      <c r="F28" s="5" t="s">
        <v>49</v>
      </c>
      <c r="G28" s="16" t="str">
        <f t="shared" si="4"/>
        <v>34513.428</v>
      </c>
      <c r="H28" s="10">
        <f t="shared" si="5"/>
        <v>6208</v>
      </c>
      <c r="I28" s="37" t="s">
        <v>86</v>
      </c>
      <c r="J28" s="38" t="s">
        <v>87</v>
      </c>
      <c r="K28" s="37">
        <v>6208</v>
      </c>
      <c r="L28" s="37" t="s">
        <v>88</v>
      </c>
      <c r="M28" s="38" t="s">
        <v>54</v>
      </c>
      <c r="N28" s="38"/>
      <c r="O28" s="39" t="s">
        <v>55</v>
      </c>
      <c r="P28" s="39" t="s">
        <v>56</v>
      </c>
    </row>
    <row r="29" spans="1:16" ht="12.75" customHeight="1" thickBot="1" x14ac:dyDescent="0.25">
      <c r="A29" s="10" t="str">
        <f t="shared" si="0"/>
        <v> VSS 7.116 </v>
      </c>
      <c r="B29" s="5" t="str">
        <f t="shared" si="1"/>
        <v>I</v>
      </c>
      <c r="C29" s="10">
        <f t="shared" si="2"/>
        <v>37669.224000000002</v>
      </c>
      <c r="D29" s="16" t="str">
        <f t="shared" si="3"/>
        <v>vis</v>
      </c>
      <c r="E29" s="36">
        <f>VLOOKUP(C29,Active!C$21:E$973,3,FALSE)</f>
        <v>8700.9914443487687</v>
      </c>
      <c r="F29" s="5" t="s">
        <v>49</v>
      </c>
      <c r="G29" s="16" t="str">
        <f t="shared" si="4"/>
        <v>37669.224</v>
      </c>
      <c r="H29" s="10">
        <f t="shared" si="5"/>
        <v>8701</v>
      </c>
      <c r="I29" s="37" t="s">
        <v>89</v>
      </c>
      <c r="J29" s="38" t="s">
        <v>90</v>
      </c>
      <c r="K29" s="37">
        <v>8701</v>
      </c>
      <c r="L29" s="37" t="s">
        <v>91</v>
      </c>
      <c r="M29" s="38" t="s">
        <v>54</v>
      </c>
      <c r="N29" s="38"/>
      <c r="O29" s="39" t="s">
        <v>55</v>
      </c>
      <c r="P29" s="39" t="s">
        <v>56</v>
      </c>
    </row>
    <row r="30" spans="1:16" ht="12.75" customHeight="1" thickBot="1" x14ac:dyDescent="0.25">
      <c r="A30" s="10" t="str">
        <f t="shared" si="0"/>
        <v> VSS 7.116 </v>
      </c>
      <c r="B30" s="5" t="str">
        <f t="shared" si="1"/>
        <v>I</v>
      </c>
      <c r="C30" s="10">
        <f t="shared" si="2"/>
        <v>37932.550000000003</v>
      </c>
      <c r="D30" s="16" t="str">
        <f t="shared" si="3"/>
        <v>vis</v>
      </c>
      <c r="E30" s="36">
        <f>VLOOKUP(C30,Active!C$21:E$973,3,FALSE)</f>
        <v>8909.0177985985501</v>
      </c>
      <c r="F30" s="5" t="s">
        <v>49</v>
      </c>
      <c r="G30" s="16" t="str">
        <f t="shared" si="4"/>
        <v>37932.55</v>
      </c>
      <c r="H30" s="10">
        <f t="shared" si="5"/>
        <v>8909</v>
      </c>
      <c r="I30" s="37" t="s">
        <v>92</v>
      </c>
      <c r="J30" s="38" t="s">
        <v>93</v>
      </c>
      <c r="K30" s="37">
        <v>8909</v>
      </c>
      <c r="L30" s="37" t="s">
        <v>94</v>
      </c>
      <c r="M30" s="38" t="s">
        <v>54</v>
      </c>
      <c r="N30" s="38"/>
      <c r="O30" s="39" t="s">
        <v>55</v>
      </c>
      <c r="P30" s="39" t="s">
        <v>56</v>
      </c>
    </row>
    <row r="31" spans="1:16" ht="12.75" customHeight="1" thickBot="1" x14ac:dyDescent="0.25">
      <c r="A31" s="10" t="str">
        <f t="shared" si="0"/>
        <v> VSS 7.116 </v>
      </c>
      <c r="B31" s="5" t="str">
        <f t="shared" si="1"/>
        <v>I</v>
      </c>
      <c r="C31" s="10">
        <f t="shared" si="2"/>
        <v>37946.5</v>
      </c>
      <c r="D31" s="16" t="str">
        <f t="shared" si="3"/>
        <v>vis</v>
      </c>
      <c r="E31" s="36">
        <f>VLOOKUP(C31,Active!C$21:E$973,3,FALSE)</f>
        <v>8920.0382357820563</v>
      </c>
      <c r="F31" s="5" t="s">
        <v>49</v>
      </c>
      <c r="G31" s="16" t="str">
        <f t="shared" si="4"/>
        <v>37946.50</v>
      </c>
      <c r="H31" s="10">
        <f t="shared" si="5"/>
        <v>8920</v>
      </c>
      <c r="I31" s="37" t="s">
        <v>95</v>
      </c>
      <c r="J31" s="38" t="s">
        <v>96</v>
      </c>
      <c r="K31" s="37">
        <v>8920</v>
      </c>
      <c r="L31" s="37" t="s">
        <v>97</v>
      </c>
      <c r="M31" s="38" t="s">
        <v>54</v>
      </c>
      <c r="N31" s="38"/>
      <c r="O31" s="39" t="s">
        <v>55</v>
      </c>
      <c r="P31" s="39" t="s">
        <v>56</v>
      </c>
    </row>
    <row r="32" spans="1:16" ht="12.75" customHeight="1" thickBot="1" x14ac:dyDescent="0.25">
      <c r="A32" s="10" t="str">
        <f t="shared" si="0"/>
        <v>BAVM 214 </v>
      </c>
      <c r="B32" s="5" t="str">
        <f t="shared" si="1"/>
        <v>I</v>
      </c>
      <c r="C32" s="10">
        <f t="shared" si="2"/>
        <v>55265.614600000001</v>
      </c>
      <c r="D32" s="16" t="str">
        <f t="shared" si="3"/>
        <v>vis</v>
      </c>
      <c r="E32" s="36">
        <f>VLOOKUP(C32,Active!C$21:E$973,3,FALSE)</f>
        <v>22602.060782253542</v>
      </c>
      <c r="F32" s="5" t="s">
        <v>49</v>
      </c>
      <c r="G32" s="16" t="str">
        <f t="shared" si="4"/>
        <v>55265.6146</v>
      </c>
      <c r="H32" s="10">
        <f t="shared" si="5"/>
        <v>22602</v>
      </c>
      <c r="I32" s="37" t="s">
        <v>127</v>
      </c>
      <c r="J32" s="38" t="s">
        <v>128</v>
      </c>
      <c r="K32" s="37" t="s">
        <v>129</v>
      </c>
      <c r="L32" s="37" t="s">
        <v>130</v>
      </c>
      <c r="M32" s="38" t="s">
        <v>121</v>
      </c>
      <c r="N32" s="38" t="s">
        <v>102</v>
      </c>
      <c r="O32" s="39" t="s">
        <v>131</v>
      </c>
      <c r="P32" s="40" t="s">
        <v>132</v>
      </c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</sheetData>
  <phoneticPr fontId="7" type="noConversion"/>
  <hyperlinks>
    <hyperlink ref="P12" r:id="rId1" display="http://www.bav-astro.de/sfs/BAVM_link.php?BAVMnr=132"/>
    <hyperlink ref="P13" r:id="rId2" display="http://www.bav-astro.de/sfs/BAVM_link.php?BAVMnr=132"/>
    <hyperlink ref="P14" r:id="rId3" display="http://www.bav-astro.de/sfs/BAVM_link.php?BAVMnr=152"/>
    <hyperlink ref="P15" r:id="rId4" display="http://www.bav-astro.de/sfs/BAVM_link.php?BAVMnr=158"/>
    <hyperlink ref="P16" r:id="rId5" display="http://www.bav-astro.de/sfs/BAVM_link.php?BAVMnr=186"/>
    <hyperlink ref="P17" r:id="rId6" display="http://www.bav-astro.de/sfs/BAVM_link.php?BAVMnr=186"/>
    <hyperlink ref="P32" r:id="rId7" display="http://www.bav-astro.de/sfs/BAVM_link.php?BAVMnr=2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2024-02-04T04:22:53Z</dcterms:modified>
</cp:coreProperties>
</file>