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EBE3C82-FC10-4629-81D8-45626581F9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4" i="1"/>
  <c r="C21" i="1"/>
  <c r="G21" i="1"/>
  <c r="H21" i="1"/>
  <c r="H11" i="2"/>
  <c r="G11" i="2"/>
  <c r="C11" i="2"/>
  <c r="E11" i="2"/>
  <c r="D11" i="2"/>
  <c r="B11" i="2"/>
  <c r="A11" i="2"/>
  <c r="E21" i="1"/>
  <c r="F21" i="1"/>
  <c r="F17" i="1"/>
  <c r="E22" i="1"/>
  <c r="F22" i="1"/>
  <c r="G22" i="1"/>
  <c r="J22" i="1"/>
  <c r="Q22" i="1"/>
  <c r="C7" i="1"/>
  <c r="E23" i="1"/>
  <c r="F23" i="1"/>
  <c r="C8" i="1"/>
  <c r="Q21" i="1"/>
  <c r="E24" i="1"/>
  <c r="F24" i="1"/>
  <c r="G24" i="1"/>
  <c r="K24" i="1"/>
  <c r="C17" i="1"/>
  <c r="G23" i="1"/>
  <c r="K23" i="1"/>
  <c r="C12" i="1"/>
  <c r="C11" i="1"/>
  <c r="O21" i="1" l="1"/>
  <c r="O22" i="1"/>
  <c r="O23" i="1"/>
  <c r="O24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<sst xmlns="http://schemas.openxmlformats.org/spreadsheetml/2006/main" count="68" uniqueCount="59">
  <si>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</si>
  <si>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</si>
  <si>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</si>
  <si>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</si>
  <si>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</si>
  <si>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</si>
  <si>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</si>
  <si>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</si>
  <si>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</si>
  <si>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</si>
  <si>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</si>
  <si>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</si>
  <si>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</si>
  <si>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</si>
  <si>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</si>
  <si>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</si>
  <si>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</si>
  <si>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</si>
  <si>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</si>
  <si>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</si>
  <si>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</si>
  <si>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</si>
  <si>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</si>
  <si>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</si>
  <si>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</si>
  <si>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</si>
  <si>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</si>
  <si>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</si>
  <si>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</si>
  <si>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</si>
  <si>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</si>
  <si>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5643</t>
  </si>
  <si>
    <t># of data points:</t>
  </si>
  <si>
    <t>V1345 Cyg / na</t>
  </si>
  <si>
    <t xml:space="preserve">19 31 28.6 +29 46 23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</si>
  <si>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</si>
  <si>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</si>
  <si>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</si>
  <si>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</si>
  <si>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</si>
  <si>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</si>
  <si>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</si>
  <si>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</si>
  <si>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</si>
  <si>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</si>
  <si>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</si>
  <si>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</si>
  <si>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</si>
  <si>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</si>
  <si>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</si>
  <si>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</si>
  <si>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</si>
  <si>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2452941.3401 </t>
  </si>
  <si>
    <t> 28.10.2003 20:09 </t>
  </si>
  <si>
    <t> -0.0988 </t>
  </si>
  <si>
    <t>E </t>
  </si>
  <si>
    <t>o</t>
  </si>
  <si>
    <t> P.Frank </t>
  </si>
  <si>
    <t>BAVM 172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</si>
</sst>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V1345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8-40C2-A61F-83CA0B0957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8-40C2-A61F-83CA0B0957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-9.875599999941187E-2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8-40C2-A61F-83CA0B0957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-0.17526399999769637</c:v>
                </c:pt>
                <c:pt idx="3">
                  <c:v>-0.16171999999642139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8-40C2-A61F-83CA0B0957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8-40C2-A61F-83CA0B0957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8-40C2-A61F-83CA0B0957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38-40C2-A61F-83CA0B0957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9746.5</c:v>
                </c:pt>
                <c:pt idx="2">
                  <c:v>12796</c:v>
                </c:pt>
                <c:pt idx="3">
                  <c:v>12805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0.12368141433239291</c:v>
                </c:pt>
                <c:pt idx="1">
                  <c:v>-9.8776259458085602E-2</c:v>
                </c:pt>
                <c:pt idx="2">
                  <c:v>-0.16837916062507521</c:v>
                </c:pt>
                <c:pt idx="3">
                  <c:v>-0.16858457991036882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38-40C2-A61F-83CA0B09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0656"/>
        <c:axId val="1"/>
      </c:scatterChart>
      <c:valAx>
        <c:axId val="84993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36D560-9337-515A-5C77-ABBB2F11D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4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5.42578125" customWidth="1"/>
    <col min="2" max="2" width="5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  <c r="C1" s="13" t="s">
        <v>34</v>
      </c>
    </row>
    <row r="2" spans="1:6">
      <c r="A2" t="s">
        <v>26</v>
      </c>
      <c r="B2" t="s">
        <v>30</v>
      </c>
    </row>
    <row r="3" spans="1:6" ht="13.5" thickBot="1"/>
    <row r="4" spans="1:6" ht="14.25" thickTop="1" thickBot="1">
      <c r="A4" s="6" t="s">
        <v>2</v>
      </c>
      <c r="C4" s="3">
        <v>39031.39</v>
      </c>
      <c r="D4" s="4">
        <v>1.427184</v>
      </c>
    </row>
    <row r="5" spans="1:6" ht="13.5" thickTop="1">
      <c r="A5" s="14" t="s">
        <v>35</v>
      </c>
      <c r="B5" s="15"/>
      <c r="C5" s="16">
        <v>-9.5</v>
      </c>
      <c r="D5" s="15" t="s">
        <v>36</v>
      </c>
    </row>
    <row r="6" spans="1:6">
      <c r="A6" s="6" t="s">
        <v>3</v>
      </c>
    </row>
    <row r="7" spans="1:6">
      <c r="A7" t="s">
        <v>4</v>
      </c>
      <c r="C7">
        <f>+C4</f>
        <v>39031.39</v>
      </c>
    </row>
    <row r="8" spans="1:6">
      <c r="A8" t="s">
        <v>5</v>
      </c>
      <c r="C8">
        <f>+D4</f>
        <v>1.427184</v>
      </c>
    </row>
    <row r="9" spans="1:6">
      <c r="A9" s="30" t="s">
        <v>40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>
      <c r="A10" s="15"/>
      <c r="B10" s="15"/>
      <c r="C10" s="5" t="s">
        <v>22</v>
      </c>
      <c r="D10" s="5" t="s">
        <v>23</v>
      </c>
      <c r="E10" s="15"/>
    </row>
    <row r="11" spans="1:6">
      <c r="A11" s="15" t="s">
        <v>18</v>
      </c>
      <c r="B11" s="15"/>
      <c r="C11" s="17">
        <f ca="1">INTERCEPT(INDIRECT($D$9):G992,INDIRECT($C$9):F992)</f>
        <v>0.12368141433239291</v>
      </c>
      <c r="D11" s="18"/>
      <c r="E11" s="15"/>
    </row>
    <row r="12" spans="1:6">
      <c r="A12" s="15" t="s">
        <v>19</v>
      </c>
      <c r="B12" s="15"/>
      <c r="C12" s="17">
        <f ca="1">SLOPE(INDIRECT($D$9):G992,INDIRECT($C$9):F992)</f>
        <v>-2.2824365032624892E-5</v>
      </c>
      <c r="D12" s="18"/>
      <c r="E12" s="15"/>
    </row>
    <row r="13" spans="1:6">
      <c r="A13" s="15" t="s">
        <v>21</v>
      </c>
      <c r="B13" s="15"/>
      <c r="C13" s="18" t="s">
        <v>16</v>
      </c>
    </row>
    <row r="14" spans="1:6">
      <c r="A14" s="15"/>
      <c r="B14" s="15"/>
      <c r="C14" s="15"/>
    </row>
    <row r="15" spans="1:6">
      <c r="A15" s="21" t="s">
        <v>20</v>
      </c>
      <c r="B15" s="15"/>
      <c r="C15" s="22">
        <f ca="1">(C7+C11)+(C8+C12)*INT(MAX(F21:F3533))</f>
        <v>57306.312535420089</v>
      </c>
      <c r="E15" s="18"/>
      <c r="F15" s="15"/>
    </row>
    <row r="16" spans="1:6">
      <c r="A16" s="25" t="s">
        <v>6</v>
      </c>
      <c r="B16" s="15"/>
      <c r="C16" s="26">
        <f ca="1">+C8+C12</f>
        <v>1.4271611756349674</v>
      </c>
      <c r="E16" s="15"/>
      <c r="F16" s="15"/>
    </row>
    <row r="17" spans="1:17" ht="13.5" thickBot="1">
      <c r="A17" s="23" t="s">
        <v>32</v>
      </c>
      <c r="B17" s="15"/>
      <c r="C17" s="15">
        <f>COUNT(C21:C2191)</f>
        <v>4</v>
      </c>
      <c r="E17" s="23" t="s">
        <v>37</v>
      </c>
      <c r="F17" s="24">
        <f ca="1">TODAY()+15018.5-B5/24</f>
        <v>60344.5</v>
      </c>
    </row>
    <row r="18" spans="1:17" ht="14.25" thickTop="1" thickBot="1">
      <c r="A18" s="25" t="s">
        <v>7</v>
      </c>
      <c r="B18" s="15"/>
      <c r="C18" s="28">
        <f ca="1">+C15</f>
        <v>57306.312535420089</v>
      </c>
      <c r="D18" s="29">
        <f ca="1">+C16</f>
        <v>1.4271611756349674</v>
      </c>
      <c r="E18" s="23" t="s">
        <v>38</v>
      </c>
      <c r="F18" s="24">
        <f ca="1">ROUND(2*(F17-C15)/C16,0)/2+1</f>
        <v>2130</v>
      </c>
    </row>
    <row r="19" spans="1:17" ht="13.5" thickTop="1">
      <c r="E19" s="23" t="s">
        <v>39</v>
      </c>
      <c r="F19" s="27">
        <f ca="1">+C15+C16*F18-15018.5-C5/24</f>
        <v>45328.061672855903</v>
      </c>
    </row>
    <row r="20" spans="1:17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48</v>
      </c>
      <c r="I20" s="8" t="s">
        <v>51</v>
      </c>
      <c r="J20" s="8" t="s">
        <v>45</v>
      </c>
      <c r="K20" s="8" t="s">
        <v>43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>
      <c r="A21" t="s">
        <v>14</v>
      </c>
      <c r="C21" s="11">
        <f>+C4</f>
        <v>39031.39</v>
      </c>
      <c r="D21" s="11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0.12368141433239291</v>
      </c>
      <c r="Q21" s="2">
        <f>+C21-15018.5</f>
        <v>24012.89</v>
      </c>
    </row>
    <row r="22" spans="1:17">
      <c r="A22" s="9" t="s">
        <v>31</v>
      </c>
      <c r="B22" s="10"/>
      <c r="C22" s="12">
        <v>52941.340100000001</v>
      </c>
      <c r="D22" s="12">
        <v>1E-3</v>
      </c>
      <c r="E22">
        <f>+(C22-C$7)/C$8</f>
        <v>9746.430803596455</v>
      </c>
      <c r="F22">
        <f>ROUND(2*E22,0)/2</f>
        <v>9746.5</v>
      </c>
      <c r="G22">
        <f>+C22-(C$7+F22*C$8)</f>
        <v>-9.875599999941187E-2</v>
      </c>
      <c r="J22">
        <f>+G22</f>
        <v>-9.875599999941187E-2</v>
      </c>
      <c r="O22">
        <f ca="1">+C$11+C$12*$F22</f>
        <v>-9.8776259458085602E-2</v>
      </c>
      <c r="Q22" s="2">
        <f>+C22-15018.5</f>
        <v>37922.840100000001</v>
      </c>
    </row>
    <row r="23" spans="1:17">
      <c r="A23" s="45" t="s">
        <v>0</v>
      </c>
      <c r="B23" s="46" t="s">
        <v>1</v>
      </c>
      <c r="C23" s="47">
        <v>57293.461199999998</v>
      </c>
      <c r="D23" s="47">
        <v>2E-3</v>
      </c>
      <c r="E23">
        <f>+(C23-C$7)/C$8</f>
        <v>12795.87719593269</v>
      </c>
      <c r="F23">
        <f>ROUND(2*E23,0)/2</f>
        <v>12796</v>
      </c>
      <c r="G23">
        <f>+C23-(C$7+F23*C$8)</f>
        <v>-0.17526399999769637</v>
      </c>
      <c r="K23">
        <f>+G23</f>
        <v>-0.17526399999769637</v>
      </c>
      <c r="O23">
        <f ca="1">+C$11+C$12*$F23</f>
        <v>-0.16837916062507521</v>
      </c>
      <c r="Q23" s="2">
        <f>+C23-15018.5</f>
        <v>42274.961199999998</v>
      </c>
    </row>
    <row r="24" spans="1:17">
      <c r="A24" s="45" t="s">
        <v>0</v>
      </c>
      <c r="B24" s="46" t="s">
        <v>1</v>
      </c>
      <c r="C24" s="47">
        <v>57306.3194</v>
      </c>
      <c r="D24" s="47">
        <v>2E-3</v>
      </c>
      <c r="E24">
        <f>+(C24-C$7)/C$8</f>
        <v>12804.886685949394</v>
      </c>
      <c r="F24">
        <f>ROUND(2*E24,0)/2</f>
        <v>12805</v>
      </c>
      <c r="G24">
        <f>+C24-(C$7+F24*C$8)</f>
        <v>-0.16171999999642139</v>
      </c>
      <c r="K24">
        <f>+G24</f>
        <v>-0.16171999999642139</v>
      </c>
      <c r="O24">
        <f ca="1">+C$11+C$12*$F24</f>
        <v>-0.16858457991036882</v>
      </c>
      <c r="Q24" s="2">
        <f>+C24-15018.5</f>
        <v>42287.8194</v>
      </c>
    </row>
    <row r="25" spans="1:17">
      <c r="C25" s="11"/>
      <c r="D25" s="11"/>
      <c r="Q25" s="2"/>
    </row>
    <row r="26" spans="1:17">
      <c r="C26" s="11"/>
      <c r="D26" s="11"/>
      <c r="Q26" s="2"/>
    </row>
    <row r="27" spans="1:17">
      <c r="C27" s="11"/>
      <c r="D27" s="11"/>
      <c r="Q27" s="2"/>
    </row>
    <row r="28" spans="1:17">
      <c r="C28" s="11"/>
      <c r="D28" s="11"/>
      <c r="Q28" s="2"/>
    </row>
    <row r="29" spans="1:17">
      <c r="C29" s="11"/>
      <c r="D29" s="11"/>
      <c r="Q29" s="2"/>
    </row>
    <row r="30" spans="1:17">
      <c r="C30" s="11"/>
      <c r="D30" s="11"/>
      <c r="Q30" s="2"/>
    </row>
    <row r="31" spans="1:17">
      <c r="C31" s="11"/>
      <c r="D31" s="11"/>
      <c r="Q31" s="2"/>
    </row>
    <row r="32" spans="1:17">
      <c r="C32" s="11"/>
      <c r="D32" s="11"/>
      <c r="Q32" s="2"/>
    </row>
    <row r="33" spans="3:17">
      <c r="C33" s="11"/>
      <c r="D33" s="11"/>
      <c r="Q33" s="2"/>
    </row>
    <row r="34" spans="3:17">
      <c r="C34" s="11"/>
      <c r="D34" s="11"/>
    </row>
    <row r="35" spans="3:17">
      <c r="C35" s="11"/>
      <c r="D35" s="11"/>
    </row>
    <row r="36" spans="3:17">
      <c r="C36" s="11"/>
      <c r="D36" s="11"/>
    </row>
    <row r="37" spans="3:17">
      <c r="C37" s="11"/>
      <c r="D37" s="1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</sheetData>
  <phoneticPr fontId="8" type="noConversion"/>
  <hyperlinks>
    <hyperlink ref="H90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workbookViewId="0">
      <selection activeCell="E11" sqref="E11"/>
    </sheetView>
  </sheetViews>
  <sheetFormatPr defaultRowHeight="12.75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2" t="s">
        <v>41</v>
      </c>
      <c r="I1" s="33" t="s">
        <v>42</v>
      </c>
      <c r="J1" s="34" t="s">
        <v>43</v>
      </c>
    </row>
    <row r="2" spans="1:16">
      <c r="I2" s="35" t="s">
        <v>44</v>
      </c>
      <c r="J2" s="36" t="s">
        <v>45</v>
      </c>
    </row>
    <row r="3" spans="1:16">
      <c r="A3" s="37" t="s">
        <v>46</v>
      </c>
      <c r="I3" s="35" t="s">
        <v>47</v>
      </c>
      <c r="J3" s="36" t="s">
        <v>48</v>
      </c>
    </row>
    <row r="4" spans="1:16">
      <c r="I4" s="35" t="s">
        <v>49</v>
      </c>
      <c r="J4" s="36" t="s">
        <v>48</v>
      </c>
    </row>
    <row r="5" spans="1:16" ht="13.5" thickBot="1">
      <c r="I5" s="38" t="s">
        <v>50</v>
      </c>
      <c r="J5" s="39" t="s">
        <v>51</v>
      </c>
    </row>
    <row r="10" spans="1:16" ht="13.5" thickBot="1"/>
    <row r="11" spans="1:16" ht="12.75" customHeight="1" thickBot="1">
      <c r="A11" s="11" t="str">
        <f>P11</f>
        <v>BAVM 172 </v>
      </c>
      <c r="B11" s="18" t="str">
        <f>IF(H11=INT(H11),"I","II")</f>
        <v>II</v>
      </c>
      <c r="C11" s="11">
        <f>1*G11</f>
        <v>52941.340100000001</v>
      </c>
      <c r="D11" s="15" t="str">
        <f>VLOOKUP(F11,I$1:J$5,2,FALSE)</f>
        <v>vis</v>
      </c>
      <c r="E11" s="40">
        <f>VLOOKUP(C11,Active!C$21:E$973,3,FALSE)</f>
        <v>9746.430803596455</v>
      </c>
      <c r="F11" s="18" t="s">
        <v>50</v>
      </c>
      <c r="G11" s="15" t="str">
        <f>MID(I11,3,LEN(I11)-3)</f>
        <v>52941.3401</v>
      </c>
      <c r="H11" s="11">
        <f>1*K11</f>
        <v>9746.5</v>
      </c>
      <c r="I11" s="41" t="s">
        <v>52</v>
      </c>
      <c r="J11" s="42" t="s">
        <v>53</v>
      </c>
      <c r="K11" s="41">
        <v>9746.5</v>
      </c>
      <c r="L11" s="41" t="s">
        <v>54</v>
      </c>
      <c r="M11" s="42" t="s">
        <v>55</v>
      </c>
      <c r="N11" s="42" t="s">
        <v>56</v>
      </c>
      <c r="O11" s="43" t="s">
        <v>57</v>
      </c>
      <c r="P11" s="44" t="s">
        <v>58</v>
      </c>
    </row>
    <row r="12" spans="1:16">
      <c r="B12" s="18"/>
      <c r="F12" s="18"/>
    </row>
    <row r="13" spans="1:16">
      <c r="B13" s="18"/>
      <c r="F13" s="18"/>
    </row>
    <row r="14" spans="1:16">
      <c r="B14" s="18"/>
      <c r="F14" s="18"/>
    </row>
    <row r="15" spans="1:16">
      <c r="B15" s="18"/>
      <c r="F15" s="18"/>
    </row>
    <row r="16" spans="1:16">
      <c r="B16" s="18"/>
      <c r="F16" s="18"/>
    </row>
    <row r="17" spans="2:6">
      <c r="B17" s="18"/>
      <c r="F17" s="18"/>
    </row>
    <row r="18" spans="2:6">
      <c r="B18" s="18"/>
      <c r="F18" s="18"/>
    </row>
    <row r="19" spans="2:6">
      <c r="B19" s="18"/>
      <c r="F19" s="18"/>
    </row>
    <row r="20" spans="2:6">
      <c r="B20" s="18"/>
      <c r="F20" s="18"/>
    </row>
    <row r="21" spans="2:6">
      <c r="B21" s="18"/>
      <c r="F21" s="18"/>
    </row>
    <row r="22" spans="2:6">
      <c r="B22" s="18"/>
      <c r="F22" s="18"/>
    </row>
    <row r="23" spans="2:6">
      <c r="B23" s="18"/>
      <c r="F23" s="18"/>
    </row>
    <row r="24" spans="2:6">
      <c r="B24" s="18"/>
      <c r="F24" s="18"/>
    </row>
    <row r="25" spans="2:6">
      <c r="B25" s="18"/>
      <c r="F25" s="18"/>
    </row>
    <row r="26" spans="2:6">
      <c r="B26" s="18"/>
      <c r="F26" s="18"/>
    </row>
    <row r="27" spans="2:6">
      <c r="B27" s="18"/>
      <c r="F27" s="18"/>
    </row>
    <row r="28" spans="2:6">
      <c r="B28" s="18"/>
      <c r="F28" s="18"/>
    </row>
    <row r="29" spans="2:6">
      <c r="B29" s="18"/>
      <c r="F29" s="18"/>
    </row>
    <row r="30" spans="2:6">
      <c r="B30" s="18"/>
      <c r="F30" s="18"/>
    </row>
    <row r="31" spans="2:6">
      <c r="B31" s="18"/>
      <c r="F31" s="18"/>
    </row>
    <row r="32" spans="2:6">
      <c r="B32" s="18"/>
      <c r="F32" s="18"/>
    </row>
    <row r="33" spans="2:6">
      <c r="B33" s="18"/>
      <c r="F33" s="18"/>
    </row>
    <row r="34" spans="2:6">
      <c r="B34" s="18"/>
      <c r="F34" s="18"/>
    </row>
    <row r="35" spans="2:6">
      <c r="B35" s="18"/>
      <c r="F35" s="18"/>
    </row>
    <row r="36" spans="2:6">
      <c r="B36" s="18"/>
      <c r="F36" s="18"/>
    </row>
    <row r="37" spans="2:6">
      <c r="B37" s="18"/>
      <c r="F37" s="18"/>
    </row>
    <row r="38" spans="2:6">
      <c r="B38" s="18"/>
      <c r="F38" s="18"/>
    </row>
    <row r="39" spans="2:6">
      <c r="B39" s="18"/>
      <c r="F39" s="18"/>
    </row>
    <row r="40" spans="2:6">
      <c r="B40" s="18"/>
      <c r="F40" s="18"/>
    </row>
    <row r="41" spans="2:6">
      <c r="B41" s="18"/>
      <c r="F41" s="18"/>
    </row>
    <row r="42" spans="2:6">
      <c r="B42" s="18"/>
      <c r="F42" s="18"/>
    </row>
    <row r="43" spans="2:6">
      <c r="B43" s="18"/>
      <c r="F43" s="18"/>
    </row>
    <row r="44" spans="2:6">
      <c r="B44" s="18"/>
      <c r="F44" s="18"/>
    </row>
    <row r="45" spans="2:6">
      <c r="B45" s="18"/>
      <c r="F45" s="18"/>
    </row>
    <row r="46" spans="2:6">
      <c r="B46" s="18"/>
      <c r="F46" s="18"/>
    </row>
    <row r="47" spans="2:6">
      <c r="B47" s="18"/>
      <c r="F47" s="18"/>
    </row>
    <row r="48" spans="2: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</sheetData>
  <phoneticPr fontId="8" type="noConversion"/>
  <hyperlinks>
    <hyperlink ref="P11" r:id="rId1" display="http://www.bav-astro.de/sfs/BAVM_link.php?BAVMnr=17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2024-02-04T04:33:43Z</dcterms:modified>
</cp:coreProperties>
</file>