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00FAD6-B508-4D9E-A5B2-99B8E7B8DD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6" i="1" l="1"/>
  <c r="E26" i="1"/>
  <c r="F26" i="1"/>
  <c r="D9" i="1"/>
  <c r="C9" i="1"/>
  <c r="Q25" i="1"/>
  <c r="G14" i="2"/>
  <c r="C14" i="2"/>
  <c r="G15" i="2"/>
  <c r="C15" i="2"/>
  <c r="G13" i="2"/>
  <c r="C13" i="2"/>
  <c r="G12" i="2"/>
  <c r="C12" i="2"/>
  <c r="G16" i="2"/>
  <c r="C16" i="2"/>
  <c r="E16" i="2"/>
  <c r="H14" i="2"/>
  <c r="D14" i="2"/>
  <c r="B14" i="2"/>
  <c r="A14" i="2"/>
  <c r="H15" i="2"/>
  <c r="D15" i="2"/>
  <c r="B15" i="2"/>
  <c r="A15" i="2"/>
  <c r="H13" i="2"/>
  <c r="D13" i="2"/>
  <c r="B13" i="2"/>
  <c r="A13" i="2"/>
  <c r="H12" i="2"/>
  <c r="D12" i="2"/>
  <c r="B12" i="2"/>
  <c r="A12" i="2"/>
  <c r="H16" i="2"/>
  <c r="D16" i="2"/>
  <c r="B16" i="2"/>
  <c r="A16" i="2"/>
  <c r="F16" i="1"/>
  <c r="F17" i="1" s="1"/>
  <c r="Q24" i="1"/>
  <c r="Q22" i="1"/>
  <c r="Q23" i="1"/>
  <c r="C8" i="1"/>
  <c r="C7" i="1"/>
  <c r="E24" i="1"/>
  <c r="F24" i="1"/>
  <c r="E21" i="1"/>
  <c r="F21" i="1"/>
  <c r="C17" i="1"/>
  <c r="Q21" i="1"/>
  <c r="E13" i="2"/>
  <c r="E14" i="2"/>
  <c r="G21" i="1"/>
  <c r="E22" i="1"/>
  <c r="F22" i="1"/>
  <c r="G22" i="1"/>
  <c r="J22" i="1"/>
  <c r="G26" i="1"/>
  <c r="I26" i="1"/>
  <c r="E23" i="1"/>
  <c r="F23" i="1"/>
  <c r="G23" i="1"/>
  <c r="J23" i="1"/>
  <c r="G24" i="1"/>
  <c r="K24" i="1"/>
  <c r="E25" i="1"/>
  <c r="F25" i="1"/>
  <c r="G25" i="1"/>
  <c r="I25" i="1"/>
  <c r="H21" i="1"/>
  <c r="E12" i="2"/>
  <c r="E15" i="2"/>
  <c r="C12" i="1"/>
  <c r="C11" i="1"/>
  <c r="O24" i="1" l="1"/>
  <c r="O26" i="1"/>
  <c r="O22" i="1"/>
  <c r="O25" i="1"/>
  <c r="C15" i="1"/>
  <c r="O23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<sst xmlns="http://schemas.openxmlformats.org/spreadsheetml/2006/main" count="109" uniqueCount="79">
  <si>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</si>
  <si>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</si>
  <si>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</si>
  <si>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</si>
  <si>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</si>
  <si>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</si>
  <si>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</si>
  <si>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</si>
  <si>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</si>
  <si>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</si>
  <si>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</si>
  <si>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</si>
  <si>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</si>
  <si>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</si>
  <si>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</si>
  <si>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</si>
  <si>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</si>
  <si>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</si>
  <si>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</si>
  <si>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</si>
  <si>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</si>
  <si>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</si>
  <si>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</si>
  <si>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</si>
  <si>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</si>
  <si>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</si>
  <si>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</si>
  <si>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</si>
  <si>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</si>
  <si>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# of data points:</t>
  </si>
  <si>
    <t>IBVS 5713</t>
  </si>
  <si>
    <t>I</t>
  </si>
  <si>
    <t>EA</t>
  </si>
  <si>
    <t>V1355 Cyg / ??</t>
  </si>
  <si>
    <t>OEJV 0160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</si>
  <si>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</si>
  <si>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</si>
  <si>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</si>
  <si>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</si>
  <si>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</si>
  <si>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</si>
  <si>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</si>
  <si>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</si>
  <si>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</si>
  <si>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</si>
  <si>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</si>
  <si>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</si>
  <si>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</si>
  <si>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</si>
  <si>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</si>
  <si>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</si>
  <si>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</si>
  <si>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</si>
  <si>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</si>
  <si>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2452135.518 </t>
  </si>
  <si>
    <t> 14.08.2001 00:25 </t>
  </si>
  <si>
    <t> 0.037 </t>
  </si>
  <si>
    <t>E </t>
  </si>
  <si>
    <t>?</t>
  </si>
  <si>
    <t> R.Diethelm </t>
  </si>
  <si>
    <t> BBS 126 </t>
  </si>
  <si>
    <t>2453660.306 </t>
  </si>
  <si>
    <t> 16.10.2005 19:20 </t>
  </si>
  <si>
    <t> 0.045 </t>
  </si>
  <si>
    <t> R. Diethelm </t>
  </si>
  <si>
    <t>IBVS 5713 </t>
  </si>
  <si>
    <t>2453900.4933 </t>
  </si>
  <si>
    <t> 13.06.2006 23:50 </t>
  </si>
  <si>
    <t> 0.0438 </t>
  </si>
  <si>
    <t>2455728.7909 </t>
  </si>
  <si>
    <t> 16.06.2011 06:58 </t>
  </si>
  <si>
    <t> 0.0392 </t>
  </si>
  <si>
    <t>C </t>
  </si>
  <si>
    <t>IBVS 5992 </t>
  </si>
  <si>
    <t>2455794.52258 </t>
  </si>
  <si>
    <t> 21.08.2011 00:32 </t>
  </si>
  <si>
    <t> 0.04765 </t>
  </si>
  <si>
    <t> J.Trnka </t>
  </si>
  <si>
    <t>OEJV 0160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</si>
</sst>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V1366 Cyg - O-C Diagr.</a:t>
            </a:r>
          </a:p>
        </c:rich>
      </c:tx>
      <c:layout>
        <c:manualLayout>
          <c:xMode val="edge"/>
          <c:yMode val="edge"/>
          <c:x val="0.35702780286551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0C-48B6-B695-6ECB61565E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3.9248890003364068E-2</c:v>
                </c:pt>
                <c:pt idx="5">
                  <c:v>3.7319999995816033E-2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0C-48B6-B695-6ECB61565E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4.5220519998110831E-2</c:v>
                </c:pt>
                <c:pt idx="2">
                  <c:v>4.3805790002807043E-2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0C-48B6-B695-6ECB61565E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4.7648739993746858E-2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0C-48B6-B695-6ECB61565E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0C-48B6-B695-6ECB61565E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0C-48B6-B695-6ECB61565E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1.4E-3</c:v>
                  </c:pt>
                  <c:pt idx="3">
                    <c:v>2.0000000000000001E-4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0C-48B6-B695-6ECB61565E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17276</c:v>
                </c:pt>
                <c:pt idx="2">
                  <c:v>17477</c:v>
                </c:pt>
                <c:pt idx="3">
                  <c:v>19062</c:v>
                </c:pt>
                <c:pt idx="4">
                  <c:v>19007</c:v>
                </c:pt>
                <c:pt idx="5">
                  <c:v>16000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3.2487987291150017E-4</c:v>
                </c:pt>
                <c:pt idx="1">
                  <c:v>4.1421979231484253E-2</c:v>
                </c:pt>
                <c:pt idx="2">
                  <c:v>4.1900129090888812E-2</c:v>
                </c:pt>
                <c:pt idx="3">
                  <c:v>4.5670614300621262E-2</c:v>
                </c:pt>
                <c:pt idx="4">
                  <c:v>4.5539777274416035E-2</c:v>
                </c:pt>
                <c:pt idx="5">
                  <c:v>3.8386560223522985E-2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0C-48B6-B695-6ECB6156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9568"/>
        <c:axId val="1"/>
      </c:scatterChart>
      <c:valAx>
        <c:axId val="73645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9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2488689317711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47625</xdr:rowOff>
    </xdr:from>
    <xdr:to>
      <xdr:col>16</xdr:col>
      <xdr:colOff>495300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628EF8-3173-C708-0276-270A084F6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713" TargetMode="External"/><Relationship Id="rId1" Type="http://schemas.openxmlformats.org/officeDocument/2006/relationships/hyperlink" Target="http://www.konkoly.hu/cgi-bin/IBVS?5713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25</v>
      </c>
      <c r="B2" t="s">
        <v>32</v>
      </c>
      <c r="C2" s="6"/>
      <c r="D2" s="6"/>
    </row>
    <row r="3" spans="1:6" ht="13.5" thickBot="1" x14ac:dyDescent="0.25"/>
    <row r="4" spans="1:6" ht="14.25" thickTop="1" thickBot="1" x14ac:dyDescent="0.25">
      <c r="A4" s="8" t="s">
        <v>0</v>
      </c>
      <c r="C4" s="13">
        <v>33015.981</v>
      </c>
      <c r="D4" s="14">
        <v>1.19496873</v>
      </c>
    </row>
    <row r="5" spans="1:6" ht="13.5" thickTop="1" x14ac:dyDescent="0.2">
      <c r="A5" s="25" t="s">
        <v>35</v>
      </c>
      <c r="B5" s="26"/>
      <c r="C5" s="27">
        <v>-9.5</v>
      </c>
      <c r="D5" s="26" t="s">
        <v>36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33015.981</v>
      </c>
    </row>
    <row r="8" spans="1:6" x14ac:dyDescent="0.2">
      <c r="A8" t="s">
        <v>3</v>
      </c>
      <c r="C8">
        <f>+D4</f>
        <v>1.19496873</v>
      </c>
    </row>
    <row r="9" spans="1:6" x14ac:dyDescent="0.2">
      <c r="A9" s="30" t="s">
        <v>37</v>
      </c>
      <c r="B9" s="31">
        <v>21</v>
      </c>
      <c r="C9" s="28" t="str">
        <f>"F"&amp;B9</f>
        <v>F21</v>
      </c>
      <c r="D9" s="29" t="str">
        <f>"G"&amp;B9</f>
        <v>G21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16">
        <f ca="1">INTERCEPT(INDIRECT($D$9):G992,INDIRECT($C$9):F992)</f>
        <v>3.2487987291150017E-4</v>
      </c>
      <c r="D11" s="6"/>
    </row>
    <row r="12" spans="1:6" x14ac:dyDescent="0.2">
      <c r="A12" t="s">
        <v>17</v>
      </c>
      <c r="C12" s="16">
        <f ca="1">SLOPE(INDIRECT($D$9):G992,INDIRECT($C$9):F992)</f>
        <v>2.378855021913218E-6</v>
      </c>
      <c r="D12" s="6"/>
    </row>
    <row r="13" spans="1:6" x14ac:dyDescent="0.2">
      <c r="A13" t="s">
        <v>19</v>
      </c>
      <c r="C13" s="6" t="s">
        <v>14</v>
      </c>
    </row>
    <row r="14" spans="1:6" x14ac:dyDescent="0.2">
      <c r="A14" t="s">
        <v>24</v>
      </c>
    </row>
    <row r="15" spans="1:6" x14ac:dyDescent="0.2">
      <c r="A15" s="3" t="s">
        <v>18</v>
      </c>
      <c r="C15" s="11">
        <f ca="1">($C$7+C$11)+($C$8+C$12)*INT(MAX($F21:$F3533))</f>
        <v>55794.520601874305</v>
      </c>
      <c r="E15" s="32" t="s">
        <v>38</v>
      </c>
      <c r="F15" s="27">
        <v>1</v>
      </c>
    </row>
    <row r="16" spans="1:6" x14ac:dyDescent="0.2">
      <c r="A16" s="8" t="s">
        <v>4</v>
      </c>
      <c r="C16" s="12">
        <f ca="1">+$C$8+C$12</f>
        <v>1.1949711088550219</v>
      </c>
      <c r="E16" s="32" t="s">
        <v>39</v>
      </c>
      <c r="F16" s="33">
        <f ca="1">NOW()+15018.5+$C$5/24</f>
        <v>60344.732254745366</v>
      </c>
    </row>
    <row r="17" spans="1:17" ht="13.5" thickBot="1" x14ac:dyDescent="0.25">
      <c r="A17" s="15" t="s">
        <v>29</v>
      </c>
      <c r="C17">
        <f>COUNT(C21:C2191)</f>
        <v>6</v>
      </c>
      <c r="E17" s="32" t="s">
        <v>40</v>
      </c>
      <c r="F17" s="33">
        <f ca="1">ROUND(2*(F16-$C$7)/$C$8,0)/2+F15</f>
        <v>22871</v>
      </c>
    </row>
    <row r="18" spans="1:17" ht="14.25" thickTop="1" thickBot="1" x14ac:dyDescent="0.25">
      <c r="A18" s="8" t="s">
        <v>5</v>
      </c>
      <c r="C18" s="4">
        <f ca="1">+C15</f>
        <v>55794.520601874305</v>
      </c>
      <c r="D18" s="5">
        <f ca="1">+C16</f>
        <v>1.1949711088550219</v>
      </c>
      <c r="E18" s="32" t="s">
        <v>41</v>
      </c>
      <c r="F18" s="29">
        <f ca="1">ROUND(2*(F16-$C$15)/$C$16,0)/2+F15</f>
        <v>3809</v>
      </c>
    </row>
    <row r="19" spans="1:17" ht="13.5" thickTop="1" x14ac:dyDescent="0.2">
      <c r="E19" s="32" t="s">
        <v>42</v>
      </c>
      <c r="F19" s="34">
        <f ca="1">+$C$15+$C$16*F18-15018.5-$C$5/24</f>
        <v>45328.061388836417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50</v>
      </c>
      <c r="I20" s="10" t="s">
        <v>53</v>
      </c>
      <c r="J20" s="10" t="s">
        <v>47</v>
      </c>
      <c r="K20" s="10" t="s">
        <v>45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s="18" t="s">
        <v>12</v>
      </c>
      <c r="B21" s="18"/>
      <c r="C21" s="19">
        <v>33015.981</v>
      </c>
      <c r="D21" s="19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3.2487987291150017E-4</v>
      </c>
      <c r="Q21" s="2">
        <f t="shared" ref="Q21:Q26" si="4">+C21-15018.5</f>
        <v>17997.481</v>
      </c>
    </row>
    <row r="22" spans="1:17" x14ac:dyDescent="0.2">
      <c r="A22" s="20" t="s">
        <v>30</v>
      </c>
      <c r="B22" s="21" t="s">
        <v>31</v>
      </c>
      <c r="C22" s="19">
        <v>53660.305999999997</v>
      </c>
      <c r="D22" s="19">
        <v>5.0000000000000001E-3</v>
      </c>
      <c r="E22">
        <f t="shared" si="0"/>
        <v>17276.037842429563</v>
      </c>
      <c r="F22">
        <f t="shared" si="1"/>
        <v>17276</v>
      </c>
      <c r="G22">
        <f t="shared" si="2"/>
        <v>4.5220519998110831E-2</v>
      </c>
      <c r="J22">
        <f>+G22</f>
        <v>4.5220519998110831E-2</v>
      </c>
      <c r="O22">
        <f t="shared" ca="1" si="3"/>
        <v>4.1421979231484253E-2</v>
      </c>
      <c r="Q22" s="2">
        <f t="shared" si="4"/>
        <v>38641.805999999997</v>
      </c>
    </row>
    <row r="23" spans="1:17" x14ac:dyDescent="0.2">
      <c r="A23" s="20" t="s">
        <v>30</v>
      </c>
      <c r="B23" s="21" t="s">
        <v>31</v>
      </c>
      <c r="C23" s="19">
        <v>53900.493300000002</v>
      </c>
      <c r="D23" s="19">
        <v>1.4E-3</v>
      </c>
      <c r="E23">
        <f t="shared" si="0"/>
        <v>17477.036658524114</v>
      </c>
      <c r="F23">
        <f t="shared" si="1"/>
        <v>17477</v>
      </c>
      <c r="G23">
        <f t="shared" si="2"/>
        <v>4.3805790002807043E-2</v>
      </c>
      <c r="J23">
        <f>+G23</f>
        <v>4.3805790002807043E-2</v>
      </c>
      <c r="O23">
        <f t="shared" ca="1" si="3"/>
        <v>4.1900129090888812E-2</v>
      </c>
      <c r="Q23" s="2">
        <f t="shared" si="4"/>
        <v>38881.993300000002</v>
      </c>
    </row>
    <row r="24" spans="1:17" x14ac:dyDescent="0.2">
      <c r="A24" s="22" t="s">
        <v>34</v>
      </c>
      <c r="B24" s="23" t="s">
        <v>31</v>
      </c>
      <c r="C24" s="24">
        <v>55794.522579999997</v>
      </c>
      <c r="D24" s="24">
        <v>2.0000000000000001E-4</v>
      </c>
      <c r="E24">
        <f t="shared" si="0"/>
        <v>19062.039874466001</v>
      </c>
      <c r="F24">
        <f t="shared" si="1"/>
        <v>19062</v>
      </c>
      <c r="G24">
        <f t="shared" si="2"/>
        <v>4.7648739993746858E-2</v>
      </c>
      <c r="K24">
        <f>+G24</f>
        <v>4.7648739993746858E-2</v>
      </c>
      <c r="O24">
        <f t="shared" ca="1" si="3"/>
        <v>4.5670614300621262E-2</v>
      </c>
      <c r="Q24" s="2">
        <f t="shared" si="4"/>
        <v>40776.022579999997</v>
      </c>
    </row>
    <row r="25" spans="1:17" x14ac:dyDescent="0.2">
      <c r="A25" s="48" t="s">
        <v>73</v>
      </c>
      <c r="B25" s="50" t="s">
        <v>31</v>
      </c>
      <c r="C25" s="49">
        <v>55728.7909</v>
      </c>
      <c r="D25" s="49" t="s">
        <v>53</v>
      </c>
      <c r="E25">
        <f t="shared" si="0"/>
        <v>19007.032845118883</v>
      </c>
      <c r="F25">
        <f t="shared" si="1"/>
        <v>19007</v>
      </c>
      <c r="G25">
        <f t="shared" si="2"/>
        <v>3.9248890003364068E-2</v>
      </c>
      <c r="I25">
        <f>+G25</f>
        <v>3.9248890003364068E-2</v>
      </c>
      <c r="O25">
        <f t="shared" ca="1" si="3"/>
        <v>4.5539777274416035E-2</v>
      </c>
      <c r="Q25" s="2">
        <f t="shared" si="4"/>
        <v>40710.2909</v>
      </c>
    </row>
    <row r="26" spans="1:17" x14ac:dyDescent="0.2">
      <c r="A26" s="48" t="s">
        <v>60</v>
      </c>
      <c r="B26" s="50" t="s">
        <v>31</v>
      </c>
      <c r="C26" s="49">
        <v>52135.517999999996</v>
      </c>
      <c r="D26" s="49" t="s">
        <v>53</v>
      </c>
      <c r="E26">
        <f t="shared" si="0"/>
        <v>16000.031230942752</v>
      </c>
      <c r="F26">
        <f t="shared" si="1"/>
        <v>16000</v>
      </c>
      <c r="G26">
        <f t="shared" si="2"/>
        <v>3.7319999995816033E-2</v>
      </c>
      <c r="I26">
        <f>+G26</f>
        <v>3.7319999995816033E-2</v>
      </c>
      <c r="O26">
        <f t="shared" ca="1" si="3"/>
        <v>3.8386560223522985E-2</v>
      </c>
      <c r="Q26" s="2">
        <f t="shared" si="4"/>
        <v>37117.017999999996</v>
      </c>
    </row>
    <row r="27" spans="1:17" x14ac:dyDescent="0.2">
      <c r="B27" s="6"/>
      <c r="C27" s="17"/>
      <c r="D27" s="17"/>
      <c r="Q27" s="2"/>
    </row>
    <row r="28" spans="1:17" x14ac:dyDescent="0.2">
      <c r="C28" s="17"/>
      <c r="D28" s="17"/>
      <c r="Q28" s="2"/>
    </row>
    <row r="29" spans="1:17" x14ac:dyDescent="0.2">
      <c r="C29" s="17"/>
      <c r="D29" s="17"/>
      <c r="Q29" s="2"/>
    </row>
    <row r="30" spans="1:17" x14ac:dyDescent="0.2">
      <c r="C30" s="17"/>
      <c r="D30" s="17"/>
      <c r="Q30" s="2"/>
    </row>
    <row r="31" spans="1:17" x14ac:dyDescent="0.2">
      <c r="C31" s="17"/>
      <c r="D31" s="17"/>
      <c r="Q31" s="2"/>
    </row>
    <row r="32" spans="1:17" x14ac:dyDescent="0.2">
      <c r="C32" s="17"/>
      <c r="D32" s="17"/>
      <c r="Q32" s="2"/>
    </row>
    <row r="33" spans="3:17" x14ac:dyDescent="0.2">
      <c r="C33" s="17"/>
      <c r="D33" s="17"/>
      <c r="Q33" s="2"/>
    </row>
    <row r="34" spans="3:17" x14ac:dyDescent="0.2">
      <c r="C34" s="17"/>
      <c r="D34" s="17"/>
    </row>
    <row r="35" spans="3:17" x14ac:dyDescent="0.2">
      <c r="C35" s="17"/>
      <c r="D35" s="17"/>
    </row>
    <row r="36" spans="3:17" x14ac:dyDescent="0.2">
      <c r="C36" s="17"/>
      <c r="D36" s="17"/>
    </row>
    <row r="37" spans="3:17" x14ac:dyDescent="0.2">
      <c r="C37" s="17"/>
      <c r="D37" s="17"/>
    </row>
    <row r="38" spans="3:17" x14ac:dyDescent="0.2">
      <c r="C38" s="17"/>
      <c r="D38" s="17"/>
    </row>
    <row r="39" spans="3:17" x14ac:dyDescent="0.2">
      <c r="C39" s="17"/>
      <c r="D39" s="17"/>
    </row>
    <row r="40" spans="3:17" x14ac:dyDescent="0.2">
      <c r="C40" s="17"/>
      <c r="D40" s="17"/>
    </row>
    <row r="41" spans="3:17" x14ac:dyDescent="0.2">
      <c r="C41" s="17"/>
      <c r="D41" s="17"/>
    </row>
    <row r="42" spans="3:17" x14ac:dyDescent="0.2">
      <c r="C42" s="17"/>
      <c r="D42" s="17"/>
    </row>
    <row r="43" spans="3:17" x14ac:dyDescent="0.2">
      <c r="C43" s="17"/>
      <c r="D43" s="17"/>
    </row>
    <row r="44" spans="3:17" x14ac:dyDescent="0.2">
      <c r="C44" s="17"/>
      <c r="D44" s="17"/>
    </row>
    <row r="45" spans="3:17" x14ac:dyDescent="0.2">
      <c r="C45" s="17"/>
      <c r="D45" s="17"/>
    </row>
    <row r="46" spans="3:17" x14ac:dyDescent="0.2">
      <c r="C46" s="17"/>
      <c r="D46" s="17"/>
    </row>
    <row r="47" spans="3:17" x14ac:dyDescent="0.2">
      <c r="C47" s="17"/>
      <c r="D47" s="17"/>
    </row>
    <row r="48" spans="3:17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workbookViewId="0">
      <selection activeCell="A15" sqref="A15:D16"/>
    </sheetView>
  </sheetViews>
  <sheetFormatPr defaultRowHeight="12.75" x14ac:dyDescent="0.2"/>
  <cols>
    <col min="1" max="1" width="19.7109375" style="17" customWidth="1"/>
    <col min="2" max="2" width="4.42578125" style="26" customWidth="1"/>
    <col min="3" max="3" width="12.7109375" style="17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17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 x14ac:dyDescent="0.25">
      <c r="A1" s="35" t="s">
        <v>43</v>
      </c>
      <c r="I1" s="36" t="s">
        <v>44</v>
      </c>
      <c r="J1" s="37" t="s">
        <v>45</v>
      </c>
    </row>
    <row r="2" spans="1:16" x14ac:dyDescent="0.2">
      <c r="I2" s="38" t="s">
        <v>46</v>
      </c>
      <c r="J2" s="39" t="s">
        <v>47</v>
      </c>
    </row>
    <row r="3" spans="1:16" x14ac:dyDescent="0.2">
      <c r="A3" s="40" t="s">
        <v>48</v>
      </c>
      <c r="I3" s="38" t="s">
        <v>49</v>
      </c>
      <c r="J3" s="39" t="s">
        <v>50</v>
      </c>
    </row>
    <row r="4" spans="1:16" x14ac:dyDescent="0.2">
      <c r="I4" s="38" t="s">
        <v>51</v>
      </c>
      <c r="J4" s="39" t="s">
        <v>50</v>
      </c>
    </row>
    <row r="5" spans="1:16" ht="13.5" thickBot="1" x14ac:dyDescent="0.25">
      <c r="I5" s="41" t="s">
        <v>52</v>
      </c>
      <c r="J5" s="42" t="s">
        <v>53</v>
      </c>
    </row>
    <row r="11" spans="1:16" ht="13.5" thickBot="1" x14ac:dyDescent="0.25"/>
    <row r="12" spans="1:16" ht="12.75" customHeight="1" thickBot="1" x14ac:dyDescent="0.25">
      <c r="A12" s="17" t="str">
        <f>P12</f>
        <v>IBVS 5713 </v>
      </c>
      <c r="B12" s="6" t="str">
        <f>IF(H12=INT(H12),"I","II")</f>
        <v>I</v>
      </c>
      <c r="C12" s="17">
        <f>1*G12</f>
        <v>53660.305999999997</v>
      </c>
      <c r="D12" s="26" t="str">
        <f>VLOOKUP(F12,I$1:J$5,2,FALSE)</f>
        <v>vis</v>
      </c>
      <c r="E12" s="43">
        <f>VLOOKUP(C12,Active!C$21:E$973,3,FALSE)</f>
        <v>17276.037842429563</v>
      </c>
      <c r="F12" s="6" t="s">
        <v>52</v>
      </c>
      <c r="G12" s="26" t="str">
        <f>MID(I12,3,LEN(I12)-3)</f>
        <v>53660.306</v>
      </c>
      <c r="H12" s="17">
        <f>1*K12</f>
        <v>17276</v>
      </c>
      <c r="I12" s="44" t="s">
        <v>61</v>
      </c>
      <c r="J12" s="45" t="s">
        <v>62</v>
      </c>
      <c r="K12" s="44">
        <v>17276</v>
      </c>
      <c r="L12" s="44" t="s">
        <v>63</v>
      </c>
      <c r="M12" s="45" t="s">
        <v>57</v>
      </c>
      <c r="N12" s="45" t="s">
        <v>58</v>
      </c>
      <c r="O12" s="46" t="s">
        <v>64</v>
      </c>
      <c r="P12" s="47" t="s">
        <v>65</v>
      </c>
    </row>
    <row r="13" spans="1:16" ht="12.75" customHeight="1" thickBot="1" x14ac:dyDescent="0.25">
      <c r="A13" s="17" t="str">
        <f>P13</f>
        <v>IBVS 5713 </v>
      </c>
      <c r="B13" s="6" t="str">
        <f>IF(H13=INT(H13),"I","II")</f>
        <v>I</v>
      </c>
      <c r="C13" s="17">
        <f>1*G13</f>
        <v>53900.493300000002</v>
      </c>
      <c r="D13" s="26" t="str">
        <f>VLOOKUP(F13,I$1:J$5,2,FALSE)</f>
        <v>vis</v>
      </c>
      <c r="E13" s="43">
        <f>VLOOKUP(C13,Active!C$21:E$973,3,FALSE)</f>
        <v>17477.036658524114</v>
      </c>
      <c r="F13" s="6" t="s">
        <v>52</v>
      </c>
      <c r="G13" s="26" t="str">
        <f>MID(I13,3,LEN(I13)-3)</f>
        <v>53900.4933</v>
      </c>
      <c r="H13" s="17">
        <f>1*K13</f>
        <v>17477</v>
      </c>
      <c r="I13" s="44" t="s">
        <v>66</v>
      </c>
      <c r="J13" s="45" t="s">
        <v>67</v>
      </c>
      <c r="K13" s="44">
        <v>17477</v>
      </c>
      <c r="L13" s="44" t="s">
        <v>68</v>
      </c>
      <c r="M13" s="45" t="s">
        <v>57</v>
      </c>
      <c r="N13" s="45" t="s">
        <v>58</v>
      </c>
      <c r="O13" s="46" t="s">
        <v>64</v>
      </c>
      <c r="P13" s="47" t="s">
        <v>65</v>
      </c>
    </row>
    <row r="14" spans="1:16" ht="12.75" customHeight="1" thickBot="1" x14ac:dyDescent="0.25">
      <c r="A14" s="17" t="str">
        <f>P14</f>
        <v>OEJV 0160 </v>
      </c>
      <c r="B14" s="6" t="str">
        <f>IF(H14=INT(H14),"I","II")</f>
        <v>I</v>
      </c>
      <c r="C14" s="17">
        <f>1*G14</f>
        <v>55794.522579999997</v>
      </c>
      <c r="D14" s="26" t="str">
        <f>VLOOKUP(F14,I$1:J$5,2,FALSE)</f>
        <v>vis</v>
      </c>
      <c r="E14" s="43">
        <f>VLOOKUP(C14,Active!C$21:E$973,3,FALSE)</f>
        <v>19062.039874466001</v>
      </c>
      <c r="F14" s="6" t="s">
        <v>52</v>
      </c>
      <c r="G14" s="26" t="str">
        <f>MID(I14,3,LEN(I14)-3)</f>
        <v>55794.52258</v>
      </c>
      <c r="H14" s="17">
        <f>1*K14</f>
        <v>19062</v>
      </c>
      <c r="I14" s="44" t="s">
        <v>74</v>
      </c>
      <c r="J14" s="45" t="s">
        <v>75</v>
      </c>
      <c r="K14" s="44">
        <v>19062</v>
      </c>
      <c r="L14" s="44" t="s">
        <v>76</v>
      </c>
      <c r="M14" s="45" t="s">
        <v>72</v>
      </c>
      <c r="N14" s="45" t="s">
        <v>44</v>
      </c>
      <c r="O14" s="46" t="s">
        <v>77</v>
      </c>
      <c r="P14" s="47" t="s">
        <v>78</v>
      </c>
    </row>
    <row r="15" spans="1:16" ht="12.75" customHeight="1" thickBot="1" x14ac:dyDescent="0.25">
      <c r="A15" s="17" t="str">
        <f>P15</f>
        <v>IBVS 5992 </v>
      </c>
      <c r="B15" s="6" t="str">
        <f>IF(H15=INT(H15),"I","II")</f>
        <v>I</v>
      </c>
      <c r="C15" s="17">
        <f>1*G15</f>
        <v>55728.7909</v>
      </c>
      <c r="D15" s="26" t="str">
        <f>VLOOKUP(F15,I$1:J$5,2,FALSE)</f>
        <v>vis</v>
      </c>
      <c r="E15" s="43">
        <f>VLOOKUP(C15,Active!C$21:E$973,3,FALSE)</f>
        <v>19007.032845118883</v>
      </c>
      <c r="F15" s="6" t="s">
        <v>52</v>
      </c>
      <c r="G15" s="26" t="str">
        <f>MID(I15,3,LEN(I15)-3)</f>
        <v>55728.7909</v>
      </c>
      <c r="H15" s="17">
        <f>1*K15</f>
        <v>19007</v>
      </c>
      <c r="I15" s="44" t="s">
        <v>69</v>
      </c>
      <c r="J15" s="45" t="s">
        <v>70</v>
      </c>
      <c r="K15" s="44">
        <v>19007</v>
      </c>
      <c r="L15" s="44" t="s">
        <v>71</v>
      </c>
      <c r="M15" s="45" t="s">
        <v>72</v>
      </c>
      <c r="N15" s="45" t="s">
        <v>52</v>
      </c>
      <c r="O15" s="46" t="s">
        <v>59</v>
      </c>
      <c r="P15" s="47" t="s">
        <v>73</v>
      </c>
    </row>
    <row r="16" spans="1:16" ht="12.75" customHeight="1" thickBot="1" x14ac:dyDescent="0.25">
      <c r="A16" s="17" t="str">
        <f>P16</f>
        <v> BBS 126 </v>
      </c>
      <c r="B16" s="6" t="str">
        <f>IF(H16=INT(H16),"I","II")</f>
        <v>I</v>
      </c>
      <c r="C16" s="17">
        <f>1*G16</f>
        <v>52135.517999999996</v>
      </c>
      <c r="D16" s="26" t="str">
        <f>VLOOKUP(F16,I$1:J$5,2,FALSE)</f>
        <v>vis</v>
      </c>
      <c r="E16" s="43">
        <f>VLOOKUP(C16,Active!C$21:E$973,3,FALSE)</f>
        <v>16000.031230942752</v>
      </c>
      <c r="F16" s="6" t="s">
        <v>52</v>
      </c>
      <c r="G16" s="26" t="str">
        <f>MID(I16,3,LEN(I16)-3)</f>
        <v>52135.518</v>
      </c>
      <c r="H16" s="17">
        <f>1*K16</f>
        <v>16000</v>
      </c>
      <c r="I16" s="44" t="s">
        <v>54</v>
      </c>
      <c r="J16" s="45" t="s">
        <v>55</v>
      </c>
      <c r="K16" s="44">
        <v>16000</v>
      </c>
      <c r="L16" s="44" t="s">
        <v>56</v>
      </c>
      <c r="M16" s="45" t="s">
        <v>57</v>
      </c>
      <c r="N16" s="45" t="s">
        <v>58</v>
      </c>
      <c r="O16" s="46" t="s">
        <v>59</v>
      </c>
      <c r="P16" s="46" t="s">
        <v>60</v>
      </c>
    </row>
    <row r="17" spans="2:6" x14ac:dyDescent="0.2">
      <c r="B17" s="6"/>
      <c r="F17" s="6"/>
    </row>
    <row r="18" spans="2:6" x14ac:dyDescent="0.2">
      <c r="B18" s="6"/>
      <c r="F18" s="6"/>
    </row>
    <row r="19" spans="2:6" x14ac:dyDescent="0.2">
      <c r="B19" s="6"/>
      <c r="F19" s="6"/>
    </row>
    <row r="20" spans="2:6" x14ac:dyDescent="0.2">
      <c r="B20" s="6"/>
      <c r="F20" s="6"/>
    </row>
    <row r="21" spans="2:6" x14ac:dyDescent="0.2">
      <c r="B21" s="6"/>
      <c r="F21" s="6"/>
    </row>
    <row r="22" spans="2:6" x14ac:dyDescent="0.2">
      <c r="B22" s="6"/>
      <c r="F22" s="6"/>
    </row>
    <row r="23" spans="2:6" x14ac:dyDescent="0.2">
      <c r="B23" s="6"/>
      <c r="F23" s="6"/>
    </row>
    <row r="24" spans="2:6" x14ac:dyDescent="0.2">
      <c r="B24" s="6"/>
      <c r="F24" s="6"/>
    </row>
    <row r="25" spans="2:6" x14ac:dyDescent="0.2">
      <c r="B25" s="6"/>
      <c r="F25" s="6"/>
    </row>
    <row r="26" spans="2:6" x14ac:dyDescent="0.2">
      <c r="B26" s="6"/>
      <c r="F26" s="6"/>
    </row>
    <row r="27" spans="2:6" x14ac:dyDescent="0.2">
      <c r="B27" s="6"/>
      <c r="F27" s="6"/>
    </row>
    <row r="28" spans="2:6" x14ac:dyDescent="0.2">
      <c r="B28" s="6"/>
      <c r="F28" s="6"/>
    </row>
    <row r="29" spans="2:6" x14ac:dyDescent="0.2">
      <c r="B29" s="6"/>
      <c r="F29" s="6"/>
    </row>
    <row r="30" spans="2:6" x14ac:dyDescent="0.2">
      <c r="B30" s="6"/>
      <c r="F30" s="6"/>
    </row>
    <row r="31" spans="2:6" x14ac:dyDescent="0.2">
      <c r="B31" s="6"/>
      <c r="F31" s="6"/>
    </row>
    <row r="32" spans="2:6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</sheetData>
  <phoneticPr fontId="7" type="noConversion"/>
  <hyperlinks>
    <hyperlink ref="P12" r:id="rId1" display="http://www.konkoly.hu/cgi-bin/IBVS?5713"/>
    <hyperlink ref="P13" r:id="rId2" display="http://www.konkoly.hu/cgi-bin/IBVS?5713"/>
    <hyperlink ref="P15" r:id="rId3" display="http://www.konkoly.hu/cgi-bin/IBVS?5992"/>
    <hyperlink ref="P14" r:id="rId4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2024-02-04T04:34:26Z</dcterms:modified>
</cp:coreProperties>
</file>