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7FCD3E1-D0F8-4D44-A11A-5D57C270E99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BAV" sheetId="3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Q64" i="2" l="1"/>
  <c r="Q63" i="2"/>
  <c r="C7" i="2"/>
  <c r="E64" i="2"/>
  <c r="F64" i="2"/>
  <c r="C8" i="2"/>
  <c r="Q61" i="2"/>
  <c r="E33" i="2"/>
  <c r="F33" i="2"/>
  <c r="E42" i="2"/>
  <c r="F42" i="2"/>
  <c r="D9" i="2"/>
  <c r="C9" i="2"/>
  <c r="Q60" i="2"/>
  <c r="Q59" i="2"/>
  <c r="Q55" i="2"/>
  <c r="Q46" i="2"/>
  <c r="Q45" i="2"/>
  <c r="Q44" i="2"/>
  <c r="Q43" i="2"/>
  <c r="Q42" i="2"/>
  <c r="Q41" i="2"/>
  <c r="Q40" i="2"/>
  <c r="Q39" i="2"/>
  <c r="Q38" i="2"/>
  <c r="Q37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G19" i="3"/>
  <c r="C19" i="3"/>
  <c r="G51" i="3"/>
  <c r="C51" i="3"/>
  <c r="G50" i="3"/>
  <c r="C50" i="3"/>
  <c r="G49" i="3"/>
  <c r="C49" i="3"/>
  <c r="G48" i="3"/>
  <c r="C48" i="3"/>
  <c r="E48" i="3"/>
  <c r="G47" i="3"/>
  <c r="C47" i="3"/>
  <c r="E47" i="3"/>
  <c r="G46" i="3"/>
  <c r="C46" i="3"/>
  <c r="E46" i="3"/>
  <c r="G45" i="3"/>
  <c r="C45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44" i="3"/>
  <c r="C44" i="3"/>
  <c r="G43" i="3"/>
  <c r="C43" i="3"/>
  <c r="G42" i="3"/>
  <c r="C42" i="3"/>
  <c r="G41" i="3"/>
  <c r="C41" i="3"/>
  <c r="G40" i="3"/>
  <c r="C40" i="3"/>
  <c r="E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E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H19" i="3"/>
  <c r="D19" i="3"/>
  <c r="B19" i="3"/>
  <c r="A19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Q62" i="2"/>
  <c r="Q56" i="2"/>
  <c r="Q57" i="2"/>
  <c r="Q58" i="2"/>
  <c r="F17" i="2"/>
  <c r="C17" i="2"/>
  <c r="Q54" i="2"/>
  <c r="Q35" i="2"/>
  <c r="Q47" i="2"/>
  <c r="Q48" i="2"/>
  <c r="Q49" i="2"/>
  <c r="Q50" i="2"/>
  <c r="Q51" i="2"/>
  <c r="Q52" i="2"/>
  <c r="Q53" i="2"/>
  <c r="C21" i="1"/>
  <c r="E21" i="1"/>
  <c r="F21" i="1"/>
  <c r="G21" i="1"/>
  <c r="Q23" i="1"/>
  <c r="Q24" i="1"/>
  <c r="Q25" i="1"/>
  <c r="Q26" i="1"/>
  <c r="Q27" i="1"/>
  <c r="Q28" i="1"/>
  <c r="C17" i="1"/>
  <c r="Q22" i="1"/>
  <c r="C7" i="1"/>
  <c r="E25" i="1"/>
  <c r="F25" i="1"/>
  <c r="C8" i="1"/>
  <c r="Q21" i="1"/>
  <c r="E16" i="3"/>
  <c r="E49" i="3"/>
  <c r="E35" i="3"/>
  <c r="E22" i="3"/>
  <c r="H21" i="1"/>
  <c r="E24" i="1"/>
  <c r="F24" i="1"/>
  <c r="G24" i="1"/>
  <c r="I24" i="1"/>
  <c r="G42" i="2"/>
  <c r="J42" i="2"/>
  <c r="E40" i="2"/>
  <c r="F40" i="2"/>
  <c r="G40" i="2"/>
  <c r="J40" i="2"/>
  <c r="G33" i="2"/>
  <c r="J33" i="2"/>
  <c r="E31" i="2"/>
  <c r="F31" i="2"/>
  <c r="E23" i="2"/>
  <c r="F23" i="2"/>
  <c r="E60" i="2"/>
  <c r="F60" i="2"/>
  <c r="G60" i="2"/>
  <c r="I60" i="2"/>
  <c r="E52" i="2"/>
  <c r="F52" i="2"/>
  <c r="E27" i="1"/>
  <c r="F27" i="1"/>
  <c r="G27" i="1"/>
  <c r="I27" i="1"/>
  <c r="E45" i="2"/>
  <c r="F45" i="2"/>
  <c r="E37" i="2"/>
  <c r="F37" i="2"/>
  <c r="E28" i="2"/>
  <c r="F28" i="2"/>
  <c r="G59" i="2"/>
  <c r="I59" i="2"/>
  <c r="E57" i="2"/>
  <c r="F57" i="2"/>
  <c r="E49" i="2"/>
  <c r="F49" i="2"/>
  <c r="E39" i="2"/>
  <c r="G32" i="2"/>
  <c r="J32" i="2"/>
  <c r="E30" i="2"/>
  <c r="G24" i="2"/>
  <c r="H24" i="2"/>
  <c r="E22" i="2"/>
  <c r="E59" i="2"/>
  <c r="F59" i="2"/>
  <c r="E51" i="2"/>
  <c r="F51" i="2"/>
  <c r="G51" i="2"/>
  <c r="J51" i="2"/>
  <c r="G28" i="1"/>
  <c r="I28" i="1"/>
  <c r="E26" i="1"/>
  <c r="F26" i="1"/>
  <c r="G26" i="1"/>
  <c r="I26" i="1"/>
  <c r="E44" i="2"/>
  <c r="F44" i="2"/>
  <c r="G44" i="2"/>
  <c r="J44" i="2"/>
  <c r="E36" i="2"/>
  <c r="F36" i="2"/>
  <c r="G36" i="2"/>
  <c r="J36" i="2"/>
  <c r="E27" i="2"/>
  <c r="F27" i="2"/>
  <c r="G27" i="2"/>
  <c r="H27" i="2"/>
  <c r="G21" i="2"/>
  <c r="H21" i="2"/>
  <c r="G35" i="2"/>
  <c r="H35" i="2"/>
  <c r="E56" i="2"/>
  <c r="F56" i="2"/>
  <c r="E48" i="2"/>
  <c r="F48" i="2"/>
  <c r="G56" i="2"/>
  <c r="K56" i="2"/>
  <c r="G25" i="1"/>
  <c r="I25" i="1"/>
  <c r="G43" i="2"/>
  <c r="J43" i="2"/>
  <c r="E41" i="2"/>
  <c r="F41" i="2"/>
  <c r="G41" i="2"/>
  <c r="J41" i="2"/>
  <c r="E32" i="2"/>
  <c r="F32" i="2"/>
  <c r="E24" i="2"/>
  <c r="F24" i="2"/>
  <c r="E61" i="2"/>
  <c r="F61" i="2"/>
  <c r="G61" i="2"/>
  <c r="I61" i="2"/>
  <c r="G55" i="2"/>
  <c r="I55" i="2"/>
  <c r="E53" i="2"/>
  <c r="F53" i="2"/>
  <c r="G53" i="2"/>
  <c r="J53" i="2"/>
  <c r="G63" i="2"/>
  <c r="K63" i="2"/>
  <c r="U64" i="2"/>
  <c r="E25" i="2"/>
  <c r="F25" i="2"/>
  <c r="G25" i="2"/>
  <c r="H25" i="2"/>
  <c r="E47" i="2"/>
  <c r="E62" i="2"/>
  <c r="F62" i="2"/>
  <c r="G62" i="2"/>
  <c r="J62" i="2"/>
  <c r="E54" i="2"/>
  <c r="F54" i="2"/>
  <c r="G54" i="2"/>
  <c r="J54" i="2"/>
  <c r="G48" i="2"/>
  <c r="E28" i="1"/>
  <c r="F28" i="1"/>
  <c r="E23" i="1"/>
  <c r="F23" i="1"/>
  <c r="G23" i="1"/>
  <c r="I23" i="1"/>
  <c r="E46" i="2"/>
  <c r="F46" i="2"/>
  <c r="G46" i="2"/>
  <c r="J46" i="2"/>
  <c r="E38" i="2"/>
  <c r="F38" i="2"/>
  <c r="G38" i="2"/>
  <c r="J38" i="2"/>
  <c r="G31" i="2"/>
  <c r="J31" i="2"/>
  <c r="E29" i="2"/>
  <c r="F29" i="2"/>
  <c r="G29" i="2"/>
  <c r="H29" i="2"/>
  <c r="G23" i="2"/>
  <c r="H23" i="2"/>
  <c r="E21" i="2"/>
  <c r="F21" i="2"/>
  <c r="E35" i="2"/>
  <c r="F35" i="2"/>
  <c r="E58" i="2"/>
  <c r="F58" i="2"/>
  <c r="G58" i="2"/>
  <c r="K58" i="2"/>
  <c r="G52" i="2"/>
  <c r="J52" i="2"/>
  <c r="E50" i="2"/>
  <c r="F50" i="2"/>
  <c r="G50" i="2"/>
  <c r="J50" i="2"/>
  <c r="E22" i="1"/>
  <c r="F22" i="1"/>
  <c r="G22" i="1"/>
  <c r="G45" i="2"/>
  <c r="J45" i="2"/>
  <c r="E43" i="2"/>
  <c r="F43" i="2"/>
  <c r="G37" i="2"/>
  <c r="J37" i="2"/>
  <c r="E34" i="2"/>
  <c r="F34" i="2"/>
  <c r="G34" i="2"/>
  <c r="J34" i="2"/>
  <c r="G28" i="2"/>
  <c r="H28" i="2"/>
  <c r="E26" i="2"/>
  <c r="F26" i="2"/>
  <c r="G26" i="2"/>
  <c r="H26" i="2"/>
  <c r="G57" i="2"/>
  <c r="K57" i="2"/>
  <c r="E55" i="2"/>
  <c r="F55" i="2"/>
  <c r="G49" i="2"/>
  <c r="J49" i="2"/>
  <c r="E63" i="2"/>
  <c r="F63" i="2"/>
  <c r="I22" i="1"/>
  <c r="C11" i="1"/>
  <c r="C12" i="1"/>
  <c r="C16" i="1"/>
  <c r="D18" i="1"/>
  <c r="E51" i="3"/>
  <c r="E26" i="3"/>
  <c r="F30" i="2"/>
  <c r="G30" i="2"/>
  <c r="H30" i="2"/>
  <c r="E29" i="3"/>
  <c r="E25" i="3"/>
  <c r="E31" i="3"/>
  <c r="E45" i="3"/>
  <c r="J48" i="2"/>
  <c r="E37" i="3"/>
  <c r="F39" i="2"/>
  <c r="G39" i="2"/>
  <c r="J39" i="2"/>
  <c r="E17" i="3"/>
  <c r="E44" i="3"/>
  <c r="E15" i="3"/>
  <c r="E11" i="3"/>
  <c r="F47" i="2"/>
  <c r="G47" i="2"/>
  <c r="J47" i="2"/>
  <c r="E50" i="3"/>
  <c r="E14" i="3"/>
  <c r="E24" i="3"/>
  <c r="E39" i="3"/>
  <c r="E43" i="3"/>
  <c r="E18" i="3"/>
  <c r="E13" i="3"/>
  <c r="E34" i="3"/>
  <c r="E33" i="3"/>
  <c r="E19" i="3"/>
  <c r="E12" i="3"/>
  <c r="E20" i="3"/>
  <c r="E28" i="3"/>
  <c r="E23" i="3"/>
  <c r="E27" i="3"/>
  <c r="E21" i="3"/>
  <c r="F22" i="2"/>
  <c r="G22" i="2"/>
  <c r="H22" i="2"/>
  <c r="E30" i="3"/>
  <c r="E41" i="3"/>
  <c r="E38" i="3"/>
  <c r="E42" i="3"/>
  <c r="E36" i="3"/>
  <c r="O24" i="1"/>
  <c r="O27" i="1"/>
  <c r="O22" i="1"/>
  <c r="O25" i="1"/>
  <c r="O23" i="1"/>
  <c r="O28" i="1"/>
  <c r="O26" i="1"/>
  <c r="O21" i="1"/>
  <c r="C15" i="1"/>
  <c r="C18" i="1"/>
  <c r="C11" i="2"/>
  <c r="C12" i="2"/>
  <c r="C16" i="2" l="1"/>
  <c r="D18" i="2" s="1"/>
  <c r="O63" i="2"/>
  <c r="O58" i="2"/>
  <c r="O53" i="2"/>
  <c r="O57" i="2"/>
  <c r="O56" i="2"/>
  <c r="O59" i="2"/>
  <c r="O62" i="2"/>
  <c r="O60" i="2"/>
  <c r="O50" i="2"/>
  <c r="O51" i="2"/>
  <c r="O48" i="2"/>
  <c r="O52" i="2"/>
  <c r="O61" i="2"/>
  <c r="C15" i="2"/>
  <c r="O49" i="2"/>
  <c r="O54" i="2"/>
  <c r="O55" i="2"/>
  <c r="O64" i="2"/>
  <c r="C18" i="2" l="1"/>
  <c r="F18" i="2"/>
  <c r="F19" i="2" s="1"/>
</calcChain>
</file>

<file path=xl/sharedStrings.xml><?xml version="1.0" encoding="utf-8"?>
<sst xmlns="http://schemas.openxmlformats.org/spreadsheetml/2006/main" count="539" uniqueCount="214">
  <si>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</si>
  <si>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</si>
  <si>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</si>
  <si>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</si>
  <si>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</si>
  <si>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</si>
  <si>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</si>
  <si>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</si>
  <si>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</si>
  <si>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</si>
  <si>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</si>
  <si>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</si>
  <si>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</si>
  <si>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</si>
  <si>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</si>
  <si>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</si>
  <si>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</si>
  <si>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</si>
  <si>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</si>
  <si>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</si>
  <si>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</si>
  <si>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</si>
  <si>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</si>
  <si>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</si>
  <si>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</si>
  <si>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</si>
  <si>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</si>
  <si>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</si>
  <si>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</si>
  <si>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</si>
  <si>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</si>
  <si>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</si>
  <si>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</si>
  <si>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EB/DM</t>
  </si>
  <si>
    <t>IBVS 3615</t>
  </si>
  <si>
    <t>II</t>
  </si>
  <si>
    <t>IBVS</t>
  </si>
  <si>
    <t># of data points:</t>
  </si>
  <si>
    <t>V1356 Cyg / GSC 02152-00361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</si>
  <si>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</si>
  <si>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</si>
  <si>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</si>
  <si>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</si>
  <si>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</si>
  <si>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</si>
  <si>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</si>
  <si>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</si>
  <si>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0094</t>
  </si>
  <si>
    <t>I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</si>
  <si>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</si>
  <si>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</si>
  <si>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</si>
  <si>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</si>
  <si>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</si>
  <si>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</si>
  <si>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</si>
  <si>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</si>
  <si>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</si>
  <si>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</si>
  <si>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</si>
  <si>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</si>
  <si>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2432775.465 </t>
  </si>
  <si>
    <t> 11.08.1948 23:09 </t>
  </si>
  <si>
    <t> -0.066 </t>
  </si>
  <si>
    <t>P </t>
  </si>
  <si>
    <t> A.A.Wachmann </t>
  </si>
  <si>
    <t>IBVS 518 </t>
  </si>
  <si>
    <t>2433506.322 </t>
  </si>
  <si>
    <t> 12.08.1950 19:43 </t>
  </si>
  <si>
    <t> -0.034 </t>
  </si>
  <si>
    <t>2434133.479 </t>
  </si>
  <si>
    <t> 30.04.1952 23:29 </t>
  </si>
  <si>
    <t> 0.004 </t>
  </si>
  <si>
    <t>2434134.474 </t>
  </si>
  <si>
    <t> 01.05.1952 23:22 </t>
  </si>
  <si>
    <t> 0.020 </t>
  </si>
  <si>
    <t>2434626.548 </t>
  </si>
  <si>
    <t> 06.09.1953 01:09 </t>
  </si>
  <si>
    <t> -0.014 </t>
  </si>
  <si>
    <t>2434627.595 </t>
  </si>
  <si>
    <t> 07.09.1953 02:16 </t>
  </si>
  <si>
    <t> 0.055 </t>
  </si>
  <si>
    <t>2434628.522 </t>
  </si>
  <si>
    <t> 08.09.1953 00:31 </t>
  </si>
  <si>
    <t>2434629.563 </t>
  </si>
  <si>
    <t> 09.09.1953 01:30 </t>
  </si>
  <si>
    <t> 0.066 </t>
  </si>
  <si>
    <t>2435309.456 </t>
  </si>
  <si>
    <t> 20.07.1955 22:56 </t>
  </si>
  <si>
    <t> 0.009 </t>
  </si>
  <si>
    <t>2435360.310 </t>
  </si>
  <si>
    <t> 09.09.1955 19:26 </t>
  </si>
  <si>
    <t> -0.011 </t>
  </si>
  <si>
    <t>2440366.493 </t>
  </si>
  <si>
    <t> 24.05.1969 23:49 </t>
  </si>
  <si>
    <t> -0.025 </t>
  </si>
  <si>
    <t>E </t>
  </si>
  <si>
    <t>?</t>
  </si>
  <si>
    <t> H.Bossen </t>
  </si>
  <si>
    <t>2440369.435 </t>
  </si>
  <si>
    <t> 27.05.1969 22:26 </t>
  </si>
  <si>
    <t> -0.018 </t>
  </si>
  <si>
    <t>2440370.415 </t>
  </si>
  <si>
    <t> 28.05.1969 21:57 </t>
  </si>
  <si>
    <t> -0.016 </t>
  </si>
  <si>
    <t>2440371.401 </t>
  </si>
  <si>
    <t> 29.05.1969 21:37 </t>
  </si>
  <si>
    <t> -0.008 </t>
  </si>
  <si>
    <t>2440372.359 </t>
  </si>
  <si>
    <t> 30.05.1969 20:36 </t>
  </si>
  <si>
    <t> -0.029 </t>
  </si>
  <si>
    <t>2440373.358 </t>
  </si>
  <si>
    <t> 31.05.1969 20:35 </t>
  </si>
  <si>
    <t>2440467.263 </t>
  </si>
  <si>
    <t> 02.09.1969 18:18 </t>
  </si>
  <si>
    <t> -0.024 </t>
  </si>
  <si>
    <t>2440469.234 </t>
  </si>
  <si>
    <t> 04.09.1969 17:36 </t>
  </si>
  <si>
    <t> -0.010 </t>
  </si>
  <si>
    <t>2440811.680 </t>
  </si>
  <si>
    <t> 13.08.1970 04:19 </t>
  </si>
  <si>
    <t> 0.015 </t>
  </si>
  <si>
    <t>2440812.658 </t>
  </si>
  <si>
    <t> 14.08.1970 03:47 </t>
  </si>
  <si>
    <t> 0.014 </t>
  </si>
  <si>
    <t>2440824.405 </t>
  </si>
  <si>
    <t> 25.08.1970 21:43 </t>
  </si>
  <si>
    <t> 0.021 </t>
  </si>
  <si>
    <t>2440825.379 </t>
  </si>
  <si>
    <t> 26.08.1970 21:05 </t>
  </si>
  <si>
    <t> 0.017 </t>
  </si>
  <si>
    <t>2440827.331 </t>
  </si>
  <si>
    <t> 28.08.1970 19:56 </t>
  </si>
  <si>
    <t> 0.012 </t>
  </si>
  <si>
    <t>2440828.308 </t>
  </si>
  <si>
    <t> 29.08.1970 19:23 </t>
  </si>
  <si>
    <t> 0.011 </t>
  </si>
  <si>
    <t>2440875.273 </t>
  </si>
  <si>
    <t> 15.10.1970 18:33 </t>
  </si>
  <si>
    <t>2448095.5099 </t>
  </si>
  <si>
    <t> 23.07.1990 00:14 </t>
  </si>
  <si>
    <t> 1.0370 </t>
  </si>
  <si>
    <t> Hanzl &amp; Hudecek </t>
  </si>
  <si>
    <t>IBVS 3615 </t>
  </si>
  <si>
    <t>2453569.3926 </t>
  </si>
  <si>
    <t> 17.07.2005 21:25 </t>
  </si>
  <si>
    <t> 1.0738 </t>
  </si>
  <si>
    <t>C </t>
  </si>
  <si>
    <t>-I</t>
  </si>
  <si>
    <t> F.Agerer </t>
  </si>
  <si>
    <t>BAVM 178 </t>
  </si>
  <si>
    <t>2453611.4650 </t>
  </si>
  <si>
    <t> 28.08.2005 23:09 </t>
  </si>
  <si>
    <t>6766</t>
  </si>
  <si>
    <t> 1.0773 </t>
  </si>
  <si>
    <t> P.Frank </t>
  </si>
  <si>
    <t>2453612.4582 </t>
  </si>
  <si>
    <t> 29.08.2005 22:59 </t>
  </si>
  <si>
    <t>6766.5</t>
  </si>
  <si>
    <t> 1.0921 </t>
  </si>
  <si>
    <t>2453659.4118 </t>
  </si>
  <si>
    <t> 15.10.2005 21:52 </t>
  </si>
  <si>
    <t>6790.5</t>
  </si>
  <si>
    <t> 1.0851 </t>
  </si>
  <si>
    <t>2453661.3759 </t>
  </si>
  <si>
    <t> 17.10.2005 21:01 </t>
  </si>
  <si>
    <t>6791.5</t>
  </si>
  <si>
    <t> 1.0925 </t>
  </si>
  <si>
    <t>2453661.3773 </t>
  </si>
  <si>
    <t> 17.10.2005 21:03 </t>
  </si>
  <si>
    <t> 1.0939 </t>
  </si>
  <si>
    <t>o</t>
  </si>
  <si>
    <t> U.Schmidt </t>
  </si>
  <si>
    <t>2454024.3538 </t>
  </si>
  <si>
    <t> 15.10.2006 20:29 </t>
  </si>
  <si>
    <t>6977</t>
  </si>
  <si>
    <t> 1.1041 </t>
  </si>
  <si>
    <t>BAVM 183 </t>
  </si>
  <si>
    <t>2454649.5438 </t>
  </si>
  <si>
    <t> 02.07.2008 01:03 </t>
  </si>
  <si>
    <t>7296.5</t>
  </si>
  <si>
    <t> 1.1310 </t>
  </si>
  <si>
    <t>BAVM 203 </t>
  </si>
  <si>
    <t>2454698.4515 </t>
  </si>
  <si>
    <t> 19.08.2008 22:50 </t>
  </si>
  <si>
    <t>7321.5</t>
  </si>
  <si>
    <t> 1.1214 </t>
  </si>
  <si>
    <t>R</t>
  </si>
  <si>
    <t> L.Šmelcer </t>
  </si>
  <si>
    <t>OEJV 0094 </t>
  </si>
  <si>
    <t>2454698.4517 </t>
  </si>
  <si>
    <t> 1.1216 </t>
  </si>
  <si>
    <t>2454698.4525 </t>
  </si>
  <si>
    <t> 19.08.2008 22:51 </t>
  </si>
  <si>
    <t> 1.1224 </t>
  </si>
  <si>
    <t>2455375.4962 </t>
  </si>
  <si>
    <t> 27.06.2010 23:54 </t>
  </si>
  <si>
    <t>7667.5</t>
  </si>
  <si>
    <t> 1.1506 </t>
  </si>
  <si>
    <t> M.&amp; K.Rätz </t>
  </si>
  <si>
    <t>BAVM 220 </t>
  </si>
  <si>
    <t>2455375.4983 </t>
  </si>
  <si>
    <t> 27.06.2010 23:57 </t>
  </si>
  <si>
    <t> 1.1527 </t>
  </si>
  <si>
    <t>BAVM 214 </t>
  </si>
  <si>
    <t>2455690.5430 </t>
  </si>
  <si>
    <t> 09.05.2011 01:01 </t>
  </si>
  <si>
    <t> 1.1700 </t>
  </si>
  <si>
    <t>2456871.4742 </t>
  </si>
  <si>
    <t> 01.08.2014 23:22 </t>
  </si>
  <si>
    <t> 1.2376 </t>
  </si>
  <si>
    <t>BAVM 238 </t>
  </si>
  <si>
    <t>BAD?</t>
  </si>
  <si>
    <t>IBVS 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</si>
</sst>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21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1" fillId="0" borderId="0" xfId="42" applyFont="1" applyAlignment="1">
      <alignment wrapText="1"/>
    </xf>
    <xf numFmtId="0" fontId="21" fillId="0" borderId="0" xfId="42" applyFont="1" applyAlignment="1">
      <alignment horizontal="center" wrapText="1"/>
    </xf>
    <xf numFmtId="0" fontId="21" fillId="0" borderId="0" xfId="42" applyFont="1" applyAlignment="1">
      <alignment horizontal="left" wrapText="1"/>
    </xf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left" wrapText="1"/>
    </xf>
    <xf numFmtId="0" fontId="0" fillId="0" borderId="0" xfId="0" applyAlignment="1">
      <alignment horizontal="center" wrapText="1"/>
    </xf>
    <xf numFmtId="0" fontId="16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V1356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-6.6078360003302805E-2</c:v>
                </c:pt>
                <c:pt idx="1">
                  <c:v>-3.3547830003954004E-2</c:v>
                </c:pt>
                <c:pt idx="2">
                  <c:v>3.6597599973902106E-3</c:v>
                </c:pt>
                <c:pt idx="3">
                  <c:v>2.0313749999331776E-2</c:v>
                </c:pt>
                <c:pt idx="4">
                  <c:v>-1.3729279999097344E-2</c:v>
                </c:pt>
                <c:pt idx="5">
                  <c:v>5.4924709998886101E-2</c:v>
                </c:pt>
                <c:pt idx="6">
                  <c:v>3.5786999942502007E-3</c:v>
                </c:pt>
                <c:pt idx="7">
                  <c:v>6.6232689998287242E-2</c:v>
                </c:pt>
                <c:pt idx="8">
                  <c:v>8.7557399965589866E-3</c:v>
                </c:pt>
                <c:pt idx="9">
                  <c:v>-1.1236780002946034E-2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43-4F2C-9D06-E3ACA89E10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34">
                  <c:v>0.15263005999440793</c:v>
                </c:pt>
                <c:pt idx="38">
                  <c:v>0.17229064000275685</c:v>
                </c:pt>
                <c:pt idx="39">
                  <c:v>0.17439064000063809</c:v>
                </c:pt>
                <c:pt idx="40">
                  <c:v>0.19167541999922832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43-4F2C-9D06-E3ACA89E10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0">
                  <c:v>-2.4769949995970819E-2</c:v>
                </c:pt>
                <c:pt idx="11">
                  <c:v>-1.7807980002544355E-2</c:v>
                </c:pt>
                <c:pt idx="12">
                  <c:v>-1.6153990000020713E-2</c:v>
                </c:pt>
                <c:pt idx="13">
                  <c:v>-8.5000000035506673E-3</c:v>
                </c:pt>
                <c:pt idx="15">
                  <c:v>-2.8846010005509015E-2</c:v>
                </c:pt>
                <c:pt idx="16">
                  <c:v>-8.1920200027525425E-3</c:v>
                </c:pt>
                <c:pt idx="17">
                  <c:v>-2.4408980003499892E-2</c:v>
                </c:pt>
                <c:pt idx="18">
                  <c:v>-1.0101000007125549E-2</c:v>
                </c:pt>
                <c:pt idx="19">
                  <c:v>1.4795499999308959E-2</c:v>
                </c:pt>
                <c:pt idx="20">
                  <c:v>1.4449490001425147E-2</c:v>
                </c:pt>
                <c:pt idx="21">
                  <c:v>2.1297369996318594E-2</c:v>
                </c:pt>
                <c:pt idx="22">
                  <c:v>1.6951359997619875E-2</c:v>
                </c:pt>
                <c:pt idx="23">
                  <c:v>1.2259339993761387E-2</c:v>
                </c:pt>
                <c:pt idx="24">
                  <c:v>1.091332999203587E-2</c:v>
                </c:pt>
                <c:pt idx="25">
                  <c:v>1.5304849999665748E-2</c:v>
                </c:pt>
                <c:pt idx="26">
                  <c:v>5.8651049992477056E-2</c:v>
                </c:pt>
                <c:pt idx="27">
                  <c:v>9.5425100000284147E-2</c:v>
                </c:pt>
                <c:pt idx="28">
                  <c:v>9.8946669997530989E-2</c:v>
                </c:pt>
                <c:pt idx="29">
                  <c:v>0.11380066000128863</c:v>
                </c:pt>
                <c:pt idx="30">
                  <c:v>0.10679217999859247</c:v>
                </c:pt>
                <c:pt idx="31">
                  <c:v>0.11420015999465249</c:v>
                </c:pt>
                <c:pt idx="32">
                  <c:v>0.11560015999566531</c:v>
                </c:pt>
                <c:pt idx="33">
                  <c:v>0.12573044999589911</c:v>
                </c:pt>
                <c:pt idx="41">
                  <c:v>0.25924134999513626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43-4F2C-9D06-E3ACA89E10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35">
                  <c:v>0.1430495599997812</c:v>
                </c:pt>
                <c:pt idx="36">
                  <c:v>0.14324955999472877</c:v>
                </c:pt>
                <c:pt idx="37">
                  <c:v>0.14404955999634694</c:v>
                </c:pt>
                <c:pt idx="42">
                  <c:v>0.27290119000099367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43-4F2C-9D06-E3ACA89E10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43-4F2C-9D06-E3ACA89E10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43-4F2C-9D06-E3ACA89E10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43-4F2C-9D06-E3ACA89E10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27">
                  <c:v>0.10130836391820863</c:v>
                </c:pt>
                <c:pt idx="28">
                  <c:v>0.10318258776226497</c:v>
                </c:pt>
                <c:pt idx="29">
                  <c:v>0.10322617436328951</c:v>
                </c:pt>
                <c:pt idx="30">
                  <c:v>0.1053183312124687</c:v>
                </c:pt>
                <c:pt idx="31">
                  <c:v>0.10540550441451779</c:v>
                </c:pt>
                <c:pt idx="32">
                  <c:v>0.10540550441451779</c:v>
                </c:pt>
                <c:pt idx="33">
                  <c:v>0.12157613339463158</c:v>
                </c:pt>
                <c:pt idx="34">
                  <c:v>0.14942797144932884</c:v>
                </c:pt>
                <c:pt idx="35">
                  <c:v>0.15160730150055712</c:v>
                </c:pt>
                <c:pt idx="36">
                  <c:v>0.15160730150055712</c:v>
                </c:pt>
                <c:pt idx="37">
                  <c:v>0.15160730150055712</c:v>
                </c:pt>
                <c:pt idx="38">
                  <c:v>0.18176922940955631</c:v>
                </c:pt>
                <c:pt idx="39">
                  <c:v>0.18176922940955631</c:v>
                </c:pt>
                <c:pt idx="40">
                  <c:v>0.19580411493946637</c:v>
                </c:pt>
                <c:pt idx="41">
                  <c:v>0.24841314237611678</c:v>
                </c:pt>
                <c:pt idx="42">
                  <c:v>0.266545168402336</c:v>
                </c:pt>
                <c:pt idx="43">
                  <c:v>0.2947892858662543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43-4F2C-9D06-E3ACA89E103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43">
                  <c:v>0.22578670999791939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43-4F2C-9D06-E3ACA89E1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520624"/>
        <c:axId val="1"/>
      </c:scatterChart>
      <c:valAx>
        <c:axId val="840520624"/>
        <c:scaling>
          <c:orientation val="minMax"/>
          <c:min val="6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52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70453148122235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V1356 Cyg - O-C Diagr.</a:t>
            </a:r>
          </a:p>
        </c:rich>
      </c:tx>
      <c:layout>
        <c:manualLayout>
          <c:xMode val="edge"/>
          <c:yMode val="edge"/>
          <c:x val="0.35645161290322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-6.6078360003302805E-2</c:v>
                </c:pt>
                <c:pt idx="1">
                  <c:v>-3.3547830003954004E-2</c:v>
                </c:pt>
                <c:pt idx="2">
                  <c:v>3.6597599973902106E-3</c:v>
                </c:pt>
                <c:pt idx="3">
                  <c:v>2.0313749999331776E-2</c:v>
                </c:pt>
                <c:pt idx="4">
                  <c:v>-1.3729279999097344E-2</c:v>
                </c:pt>
                <c:pt idx="5">
                  <c:v>5.4924709998886101E-2</c:v>
                </c:pt>
                <c:pt idx="6">
                  <c:v>3.5786999942502007E-3</c:v>
                </c:pt>
                <c:pt idx="7">
                  <c:v>6.6232689998287242E-2</c:v>
                </c:pt>
                <c:pt idx="8">
                  <c:v>8.7557399965589866E-3</c:v>
                </c:pt>
                <c:pt idx="9">
                  <c:v>-1.1236780002946034E-2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F0-4B4E-802A-1A9E76D019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34">
                  <c:v>0.15263005999440793</c:v>
                </c:pt>
                <c:pt idx="38">
                  <c:v>0.17229064000275685</c:v>
                </c:pt>
                <c:pt idx="39">
                  <c:v>0.17439064000063809</c:v>
                </c:pt>
                <c:pt idx="40">
                  <c:v>0.19167541999922832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F0-4B4E-802A-1A9E76D019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0">
                  <c:v>-2.4769949995970819E-2</c:v>
                </c:pt>
                <c:pt idx="11">
                  <c:v>-1.7807980002544355E-2</c:v>
                </c:pt>
                <c:pt idx="12">
                  <c:v>-1.6153990000020713E-2</c:v>
                </c:pt>
                <c:pt idx="13">
                  <c:v>-8.5000000035506673E-3</c:v>
                </c:pt>
                <c:pt idx="15">
                  <c:v>-2.8846010005509015E-2</c:v>
                </c:pt>
                <c:pt idx="16">
                  <c:v>-8.1920200027525425E-3</c:v>
                </c:pt>
                <c:pt idx="17">
                  <c:v>-2.4408980003499892E-2</c:v>
                </c:pt>
                <c:pt idx="18">
                  <c:v>-1.0101000007125549E-2</c:v>
                </c:pt>
                <c:pt idx="19">
                  <c:v>1.4795499999308959E-2</c:v>
                </c:pt>
                <c:pt idx="20">
                  <c:v>1.4449490001425147E-2</c:v>
                </c:pt>
                <c:pt idx="21">
                  <c:v>2.1297369996318594E-2</c:v>
                </c:pt>
                <c:pt idx="22">
                  <c:v>1.6951359997619875E-2</c:v>
                </c:pt>
                <c:pt idx="23">
                  <c:v>1.2259339993761387E-2</c:v>
                </c:pt>
                <c:pt idx="24">
                  <c:v>1.091332999203587E-2</c:v>
                </c:pt>
                <c:pt idx="25">
                  <c:v>1.5304849999665748E-2</c:v>
                </c:pt>
                <c:pt idx="26">
                  <c:v>5.8651049992477056E-2</c:v>
                </c:pt>
                <c:pt idx="27">
                  <c:v>9.5425100000284147E-2</c:v>
                </c:pt>
                <c:pt idx="28">
                  <c:v>9.8946669997530989E-2</c:v>
                </c:pt>
                <c:pt idx="29">
                  <c:v>0.11380066000128863</c:v>
                </c:pt>
                <c:pt idx="30">
                  <c:v>0.10679217999859247</c:v>
                </c:pt>
                <c:pt idx="31">
                  <c:v>0.11420015999465249</c:v>
                </c:pt>
                <c:pt idx="32">
                  <c:v>0.11560015999566531</c:v>
                </c:pt>
                <c:pt idx="33">
                  <c:v>0.12573044999589911</c:v>
                </c:pt>
                <c:pt idx="41">
                  <c:v>0.25924134999513626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F0-4B4E-802A-1A9E76D019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35">
                  <c:v>0.1430495599997812</c:v>
                </c:pt>
                <c:pt idx="36">
                  <c:v>0.14324955999472877</c:v>
                </c:pt>
                <c:pt idx="37">
                  <c:v>0.14404955999634694</c:v>
                </c:pt>
                <c:pt idx="42">
                  <c:v>0.27290119000099367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F0-4B4E-802A-1A9E76D019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F0-4B4E-802A-1A9E76D019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F0-4B4E-802A-1A9E76D019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6.9999999999999999E-4</c:v>
                  </c:pt>
                  <c:pt idx="30">
                    <c:v>2.5999999999999999E-3</c:v>
                  </c:pt>
                  <c:pt idx="31">
                    <c:v>3.7000000000000002E-3</c:v>
                  </c:pt>
                  <c:pt idx="32">
                    <c:v>6.3E-3</c:v>
                  </c:pt>
                  <c:pt idx="33">
                    <c:v>6.1000000000000004E-3</c:v>
                  </c:pt>
                  <c:pt idx="34">
                    <c:v>0</c:v>
                  </c:pt>
                  <c:pt idx="35">
                    <c:v>5.9999999999999995E-4</c:v>
                  </c:pt>
                  <c:pt idx="36">
                    <c:v>5.0000000000000001E-4</c:v>
                  </c:pt>
                  <c:pt idx="37">
                    <c:v>8.0000000000000004E-4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9.5999999999999992E-3</c:v>
                  </c:pt>
                  <c:pt idx="42">
                    <c:v>9.4000000000000004E-3</c:v>
                  </c:pt>
                  <c:pt idx="4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F0-4B4E-802A-1A9E76D019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27">
                  <c:v>0.10130836391820863</c:v>
                </c:pt>
                <c:pt idx="28">
                  <c:v>0.10318258776226497</c:v>
                </c:pt>
                <c:pt idx="29">
                  <c:v>0.10322617436328951</c:v>
                </c:pt>
                <c:pt idx="30">
                  <c:v>0.1053183312124687</c:v>
                </c:pt>
                <c:pt idx="31">
                  <c:v>0.10540550441451779</c:v>
                </c:pt>
                <c:pt idx="32">
                  <c:v>0.10540550441451779</c:v>
                </c:pt>
                <c:pt idx="33">
                  <c:v>0.12157613339463158</c:v>
                </c:pt>
                <c:pt idx="34">
                  <c:v>0.14942797144932884</c:v>
                </c:pt>
                <c:pt idx="35">
                  <c:v>0.15160730150055712</c:v>
                </c:pt>
                <c:pt idx="36">
                  <c:v>0.15160730150055712</c:v>
                </c:pt>
                <c:pt idx="37">
                  <c:v>0.15160730150055712</c:v>
                </c:pt>
                <c:pt idx="38">
                  <c:v>0.18176922940955631</c:v>
                </c:pt>
                <c:pt idx="39">
                  <c:v>0.18176922940955631</c:v>
                </c:pt>
                <c:pt idx="40">
                  <c:v>0.19580411493946637</c:v>
                </c:pt>
                <c:pt idx="41">
                  <c:v>0.24841314237611678</c:v>
                </c:pt>
                <c:pt idx="42">
                  <c:v>0.266545168402336</c:v>
                </c:pt>
                <c:pt idx="43">
                  <c:v>0.2947892858662543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F0-4B4E-802A-1A9E76D019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-3882</c:v>
                </c:pt>
                <c:pt idx="1">
                  <c:v>-3508.5</c:v>
                </c:pt>
                <c:pt idx="2">
                  <c:v>-3188</c:v>
                </c:pt>
                <c:pt idx="3">
                  <c:v>-3187.5</c:v>
                </c:pt>
                <c:pt idx="4">
                  <c:v>-2936</c:v>
                </c:pt>
                <c:pt idx="5">
                  <c:v>-2935.5</c:v>
                </c:pt>
                <c:pt idx="6">
                  <c:v>-2935</c:v>
                </c:pt>
                <c:pt idx="7">
                  <c:v>-2934.5</c:v>
                </c:pt>
                <c:pt idx="8">
                  <c:v>-2587</c:v>
                </c:pt>
                <c:pt idx="9">
                  <c:v>-2561</c:v>
                </c:pt>
                <c:pt idx="10">
                  <c:v>-2.5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49</c:v>
                </c:pt>
                <c:pt idx="18">
                  <c:v>50</c:v>
                </c:pt>
                <c:pt idx="19">
                  <c:v>225</c:v>
                </c:pt>
                <c:pt idx="20">
                  <c:v>225.5</c:v>
                </c:pt>
                <c:pt idx="21">
                  <c:v>231.5</c:v>
                </c:pt>
                <c:pt idx="22">
                  <c:v>232</c:v>
                </c:pt>
                <c:pt idx="23">
                  <c:v>233</c:v>
                </c:pt>
                <c:pt idx="24">
                  <c:v>233.5</c:v>
                </c:pt>
                <c:pt idx="25">
                  <c:v>257.5</c:v>
                </c:pt>
                <c:pt idx="26">
                  <c:v>3947.5</c:v>
                </c:pt>
                <c:pt idx="27">
                  <c:v>6745</c:v>
                </c:pt>
                <c:pt idx="28">
                  <c:v>6766.5</c:v>
                </c:pt>
                <c:pt idx="29">
                  <c:v>6767</c:v>
                </c:pt>
                <c:pt idx="30">
                  <c:v>6791</c:v>
                </c:pt>
                <c:pt idx="31">
                  <c:v>6792</c:v>
                </c:pt>
                <c:pt idx="32">
                  <c:v>6792</c:v>
                </c:pt>
                <c:pt idx="33">
                  <c:v>6977.5</c:v>
                </c:pt>
                <c:pt idx="34">
                  <c:v>7297</c:v>
                </c:pt>
                <c:pt idx="35">
                  <c:v>7322</c:v>
                </c:pt>
                <c:pt idx="36">
                  <c:v>7322</c:v>
                </c:pt>
                <c:pt idx="37">
                  <c:v>7322</c:v>
                </c:pt>
                <c:pt idx="38">
                  <c:v>7668</c:v>
                </c:pt>
                <c:pt idx="39">
                  <c:v>7668</c:v>
                </c:pt>
                <c:pt idx="40">
                  <c:v>7829</c:v>
                </c:pt>
                <c:pt idx="41">
                  <c:v>8432.5</c:v>
                </c:pt>
                <c:pt idx="42">
                  <c:v>8640.5</c:v>
                </c:pt>
                <c:pt idx="43">
                  <c:v>8964.5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43">
                  <c:v>0.22578670999791939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F0-4B4E-802A-1A9E76D01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57120"/>
        <c:axId val="1"/>
      </c:scatterChart>
      <c:valAx>
        <c:axId val="536857120"/>
        <c:scaling>
          <c:orientation val="minMax"/>
          <c:max val="10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857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73298764483702"/>
          <c:w val="0.775806451612903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V1356 Cyg - O-C Diagr.</a:t>
            </a:r>
          </a:p>
        </c:rich>
      </c:tx>
      <c:layout>
        <c:manualLayout>
          <c:xMode val="edge"/>
          <c:yMode val="edge"/>
          <c:x val="0.3570278028655141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421712046357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7F-41E9-9648-0FD4D386A28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5.8651049992477056E-2</c:v>
                </c:pt>
                <c:pt idx="2">
                  <c:v>9.5425100000284147E-2</c:v>
                </c:pt>
                <c:pt idx="3">
                  <c:v>9.8946669997530989E-2</c:v>
                </c:pt>
                <c:pt idx="4">
                  <c:v>0.11380066000128863</c:v>
                </c:pt>
                <c:pt idx="5">
                  <c:v>0.10679217999859247</c:v>
                </c:pt>
                <c:pt idx="6">
                  <c:v>0.11420015999465249</c:v>
                </c:pt>
                <c:pt idx="7">
                  <c:v>0.11560015999566531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7F-41E9-9648-0FD4D386A28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7F-41E9-9648-0FD4D386A28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7F-41E9-9648-0FD4D386A28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7F-41E9-9648-0FD4D386A28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7F-41E9-9648-0FD4D386A28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7F-41E9-9648-0FD4D386A28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-1.4199804229548529E-3</c:v>
                </c:pt>
                <c:pt idx="1">
                  <c:v>6.1842672045149066E-2</c:v>
                </c:pt>
                <c:pt idx="2">
                  <c:v>0.10667541942438168</c:v>
                </c:pt>
                <c:pt idx="3">
                  <c:v>0.10701997851952144</c:v>
                </c:pt>
                <c:pt idx="4">
                  <c:v>0.10702799152173399</c:v>
                </c:pt>
                <c:pt idx="5">
                  <c:v>0.10741261562793653</c:v>
                </c:pt>
                <c:pt idx="6">
                  <c:v>0.10742864163236164</c:v>
                </c:pt>
                <c:pt idx="7">
                  <c:v>0.10742864163236164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7F-41E9-9648-0FD4D386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672352"/>
        <c:axId val="1"/>
      </c:scatterChart>
      <c:valAx>
        <c:axId val="848672352"/>
        <c:scaling>
          <c:orientation val="minMax"/>
          <c:min val="6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67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39920030190085"/>
          <c:y val="0.91925596256989606"/>
          <c:w val="0.91114768973749038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V1356 Cyg - O-C Diagr.</a:t>
            </a:r>
          </a:p>
        </c:rich>
      </c:tx>
      <c:layout>
        <c:manualLayout>
          <c:xMode val="edge"/>
          <c:yMode val="edge"/>
          <c:x val="0.356451612903225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145161290322581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0D-438B-8A67-0F2DB62F058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5.8651049992477056E-2</c:v>
                </c:pt>
                <c:pt idx="2">
                  <c:v>9.5425100000284147E-2</c:v>
                </c:pt>
                <c:pt idx="3">
                  <c:v>9.8946669997530989E-2</c:v>
                </c:pt>
                <c:pt idx="4">
                  <c:v>0.11380066000128863</c:v>
                </c:pt>
                <c:pt idx="5">
                  <c:v>0.10679217999859247</c:v>
                </c:pt>
                <c:pt idx="6">
                  <c:v>0.11420015999465249</c:v>
                </c:pt>
                <c:pt idx="7">
                  <c:v>0.11560015999566531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0D-438B-8A67-0F2DB62F058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0D-438B-8A67-0F2DB62F058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0D-438B-8A67-0F2DB62F058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0D-438B-8A67-0F2DB62F058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0D-438B-8A67-0F2DB62F058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1.4E-3</c:v>
                  </c:pt>
                  <c:pt idx="4">
                    <c:v>6.9999999999999999E-4</c:v>
                  </c:pt>
                  <c:pt idx="5">
                    <c:v>2.5999999999999999E-3</c:v>
                  </c:pt>
                  <c:pt idx="6">
                    <c:v>3.7000000000000002E-3</c:v>
                  </c:pt>
                  <c:pt idx="7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0D-438B-8A67-0F2DB62F058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3947.5</c:v>
                </c:pt>
                <c:pt idx="2">
                  <c:v>6745</c:v>
                </c:pt>
                <c:pt idx="3">
                  <c:v>6766.5</c:v>
                </c:pt>
                <c:pt idx="4">
                  <c:v>6767</c:v>
                </c:pt>
                <c:pt idx="5">
                  <c:v>6791</c:v>
                </c:pt>
                <c:pt idx="6">
                  <c:v>6792</c:v>
                </c:pt>
                <c:pt idx="7">
                  <c:v>6792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-1.4199804229548529E-3</c:v>
                </c:pt>
                <c:pt idx="1">
                  <c:v>6.1842672045149066E-2</c:v>
                </c:pt>
                <c:pt idx="2">
                  <c:v>0.10667541942438168</c:v>
                </c:pt>
                <c:pt idx="3">
                  <c:v>0.10701997851952144</c:v>
                </c:pt>
                <c:pt idx="4">
                  <c:v>0.10702799152173399</c:v>
                </c:pt>
                <c:pt idx="5">
                  <c:v>0.10741261562793653</c:v>
                </c:pt>
                <c:pt idx="6">
                  <c:v>0.10742864163236164</c:v>
                </c:pt>
                <c:pt idx="7">
                  <c:v>0.10742864163236164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0D-438B-8A67-0F2DB62F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787464"/>
        <c:axId val="1"/>
      </c:scatterChart>
      <c:valAx>
        <c:axId val="54778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787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709677419354839"/>
          <c:y val="0.91950464396284826"/>
          <c:w val="0.9096774193548387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28576</xdr:rowOff>
    </xdr:from>
    <xdr:to>
      <xdr:col>17</xdr:col>
      <xdr:colOff>419100</xdr:colOff>
      <xdr:row>18</xdr:row>
      <xdr:rowOff>57151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6B3D3860-37E1-5A7E-FCF1-4F262631B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0</xdr:row>
      <xdr:rowOff>38100</xdr:rowOff>
    </xdr:from>
    <xdr:to>
      <xdr:col>27</xdr:col>
      <xdr:colOff>95250</xdr:colOff>
      <xdr:row>18</xdr:row>
      <xdr:rowOff>19050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9BA158FD-D688-A4B8-4DF5-63D4DF462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57D4353-71EF-F0A2-18D0-6296AE6D7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E087030-5554-5E8C-59C6-C78AC6103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18" TargetMode="External"/><Relationship Id="rId13" Type="http://schemas.openxmlformats.org/officeDocument/2006/relationships/hyperlink" Target="http://www.konkoly.hu/cgi-bin/IBVS?518" TargetMode="External"/><Relationship Id="rId18" Type="http://schemas.openxmlformats.org/officeDocument/2006/relationships/hyperlink" Target="http://www.konkoly.hu/cgi-bin/IBVS?518" TargetMode="External"/><Relationship Id="rId26" Type="http://schemas.openxmlformats.org/officeDocument/2006/relationships/hyperlink" Target="http://www.konkoly.hu/cgi-bin/IBVS?3615" TargetMode="External"/><Relationship Id="rId39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518" TargetMode="External"/><Relationship Id="rId21" Type="http://schemas.openxmlformats.org/officeDocument/2006/relationships/hyperlink" Target="http://www.konkoly.hu/cgi-bin/IBVS?518" TargetMode="External"/><Relationship Id="rId34" Type="http://schemas.openxmlformats.org/officeDocument/2006/relationships/hyperlink" Target="http://www.bav-astro.de/sfs/BAVM_link.php?BAVMnr=203" TargetMode="External"/><Relationship Id="rId7" Type="http://schemas.openxmlformats.org/officeDocument/2006/relationships/hyperlink" Target="http://www.konkoly.hu/cgi-bin/IBVS?518" TargetMode="External"/><Relationship Id="rId12" Type="http://schemas.openxmlformats.org/officeDocument/2006/relationships/hyperlink" Target="http://www.konkoly.hu/cgi-bin/IBVS?518" TargetMode="External"/><Relationship Id="rId17" Type="http://schemas.openxmlformats.org/officeDocument/2006/relationships/hyperlink" Target="http://www.konkoly.hu/cgi-bin/IBVS?518" TargetMode="External"/><Relationship Id="rId25" Type="http://schemas.openxmlformats.org/officeDocument/2006/relationships/hyperlink" Target="http://www.konkoly.hu/cgi-bin/IBVS?518" TargetMode="External"/><Relationship Id="rId33" Type="http://schemas.openxmlformats.org/officeDocument/2006/relationships/hyperlink" Target="http://www.bav-astro.de/sfs/BAVM_link.php?BAVMnr=183" TargetMode="External"/><Relationship Id="rId38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18" TargetMode="External"/><Relationship Id="rId16" Type="http://schemas.openxmlformats.org/officeDocument/2006/relationships/hyperlink" Target="http://www.konkoly.hu/cgi-bin/IBVS?518" TargetMode="External"/><Relationship Id="rId20" Type="http://schemas.openxmlformats.org/officeDocument/2006/relationships/hyperlink" Target="http://www.konkoly.hu/cgi-bin/IBVS?518" TargetMode="External"/><Relationship Id="rId29" Type="http://schemas.openxmlformats.org/officeDocument/2006/relationships/hyperlink" Target="http://www.bav-astro.de/sfs/BAVM_link.php?BAVMnr=178" TargetMode="External"/><Relationship Id="rId4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518" TargetMode="External"/><Relationship Id="rId6" Type="http://schemas.openxmlformats.org/officeDocument/2006/relationships/hyperlink" Target="http://www.konkoly.hu/cgi-bin/IBVS?518" TargetMode="External"/><Relationship Id="rId11" Type="http://schemas.openxmlformats.org/officeDocument/2006/relationships/hyperlink" Target="http://www.konkoly.hu/cgi-bin/IBVS?518" TargetMode="External"/><Relationship Id="rId24" Type="http://schemas.openxmlformats.org/officeDocument/2006/relationships/hyperlink" Target="http://www.konkoly.hu/cgi-bin/IBVS?518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var.astro.cz/oejv/issues/oejv0094.pdf" TargetMode="External"/><Relationship Id="rId40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18" TargetMode="External"/><Relationship Id="rId15" Type="http://schemas.openxmlformats.org/officeDocument/2006/relationships/hyperlink" Target="http://www.konkoly.hu/cgi-bin/IBVS?518" TargetMode="External"/><Relationship Id="rId23" Type="http://schemas.openxmlformats.org/officeDocument/2006/relationships/hyperlink" Target="http://www.konkoly.hu/cgi-bin/IBVS?518" TargetMode="External"/><Relationship Id="rId28" Type="http://schemas.openxmlformats.org/officeDocument/2006/relationships/hyperlink" Target="http://www.bav-astro.de/sfs/BAVM_link.php?BAVMnr=178" TargetMode="External"/><Relationship Id="rId36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konkoly.hu/cgi-bin/IBVS?518" TargetMode="External"/><Relationship Id="rId19" Type="http://schemas.openxmlformats.org/officeDocument/2006/relationships/hyperlink" Target="http://www.konkoly.hu/cgi-bin/IBVS?518" TargetMode="External"/><Relationship Id="rId31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18" TargetMode="External"/><Relationship Id="rId9" Type="http://schemas.openxmlformats.org/officeDocument/2006/relationships/hyperlink" Target="http://www.konkoly.hu/cgi-bin/IBVS?518" TargetMode="External"/><Relationship Id="rId14" Type="http://schemas.openxmlformats.org/officeDocument/2006/relationships/hyperlink" Target="http://www.konkoly.hu/cgi-bin/IBVS?518" TargetMode="External"/><Relationship Id="rId22" Type="http://schemas.openxmlformats.org/officeDocument/2006/relationships/hyperlink" Target="http://www.konkoly.hu/cgi-bin/IBVS?518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var.astro.cz/oejv/issues/oejv009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27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28</v>
      </c>
      <c r="B2" s="11" t="s">
        <v>33</v>
      </c>
    </row>
    <row r="4" spans="1:6" ht="14.25" thickTop="1" thickBot="1" x14ac:dyDescent="0.25">
      <c r="A4" s="8" t="s">
        <v>2</v>
      </c>
      <c r="C4" s="3">
        <v>40371.409500000002</v>
      </c>
      <c r="D4" s="4">
        <v>1.95669202</v>
      </c>
    </row>
    <row r="5" spans="1:6" ht="13.5" thickTop="1" x14ac:dyDescent="0.2">
      <c r="A5" s="21" t="s">
        <v>40</v>
      </c>
      <c r="B5" s="11"/>
      <c r="C5" s="22">
        <v>-9.5</v>
      </c>
      <c r="D5" s="11" t="s">
        <v>41</v>
      </c>
    </row>
    <row r="6" spans="1:6" x14ac:dyDescent="0.2">
      <c r="A6" s="8" t="s">
        <v>3</v>
      </c>
    </row>
    <row r="7" spans="1:6" x14ac:dyDescent="0.2">
      <c r="A7" t="s">
        <v>4</v>
      </c>
      <c r="C7">
        <f>+C4</f>
        <v>40371.409500000002</v>
      </c>
    </row>
    <row r="8" spans="1:6" x14ac:dyDescent="0.2">
      <c r="A8" t="s">
        <v>5</v>
      </c>
      <c r="C8">
        <f>+D4</f>
        <v>1.95669202</v>
      </c>
    </row>
    <row r="9" spans="1:6" x14ac:dyDescent="0.2">
      <c r="A9" s="34" t="s">
        <v>46</v>
      </c>
      <c r="B9" s="35">
        <v>48</v>
      </c>
      <c r="C9" s="32" t="str">
        <f>"F"&amp;B9</f>
        <v>F48</v>
      </c>
      <c r="D9" s="33" t="str">
        <f>"G"&amp;B9</f>
        <v>G48</v>
      </c>
    </row>
    <row r="10" spans="1:6" ht="13.5" thickBot="1" x14ac:dyDescent="0.25">
      <c r="A10" s="11"/>
      <c r="B10" s="11"/>
      <c r="C10" s="7" t="s">
        <v>23</v>
      </c>
      <c r="D10" s="7" t="s">
        <v>24</v>
      </c>
      <c r="E10" s="11"/>
    </row>
    <row r="11" spans="1:6" x14ac:dyDescent="0.2">
      <c r="A11" s="11" t="s">
        <v>18</v>
      </c>
      <c r="B11" s="11"/>
      <c r="C11" s="31">
        <f ca="1">INTERCEPT(INDIRECT($D$9):G989,INDIRECT($C$9):F989)</f>
        <v>-0.48667488390317815</v>
      </c>
      <c r="D11" s="6"/>
      <c r="E11" s="11"/>
    </row>
    <row r="12" spans="1:6" x14ac:dyDescent="0.2">
      <c r="A12" s="11" t="s">
        <v>19</v>
      </c>
      <c r="B12" s="11"/>
      <c r="C12" s="31">
        <f ca="1">SLOPE(INDIRECT($D$9):G989,INDIRECT($C$9):F989)</f>
        <v>8.7173202049130736E-5</v>
      </c>
      <c r="D12" s="6"/>
      <c r="E12" s="11"/>
    </row>
    <row r="13" spans="1:6" x14ac:dyDescent="0.2">
      <c r="A13" s="11" t="s">
        <v>22</v>
      </c>
      <c r="B13" s="11"/>
      <c r="C13" s="6" t="s">
        <v>16</v>
      </c>
    </row>
    <row r="14" spans="1:6" x14ac:dyDescent="0.2">
      <c r="A14" s="11"/>
      <c r="B14" s="11"/>
      <c r="C14" s="11"/>
    </row>
    <row r="15" spans="1:6" x14ac:dyDescent="0.2">
      <c r="A15" s="23" t="s">
        <v>20</v>
      </c>
      <c r="B15" s="11"/>
      <c r="C15" s="15">
        <f ca="1">(C7+C11)+(C8+C12)*INT(MAX(F21:F3530))</f>
        <v>57911.491512979264</v>
      </c>
      <c r="E15" s="6"/>
      <c r="F15" s="11"/>
    </row>
    <row r="16" spans="1:6" x14ac:dyDescent="0.2">
      <c r="A16" s="26" t="s">
        <v>6</v>
      </c>
      <c r="B16" s="11"/>
      <c r="C16" s="16">
        <f ca="1">+C8+C12</f>
        <v>1.9567791932020491</v>
      </c>
      <c r="E16" s="11"/>
      <c r="F16" s="11"/>
    </row>
    <row r="17" spans="1:21" ht="13.5" thickBot="1" x14ac:dyDescent="0.25">
      <c r="A17" s="24" t="s">
        <v>37</v>
      </c>
      <c r="B17" s="11"/>
      <c r="C17" s="11">
        <f>COUNT(C21:C2188)</f>
        <v>44</v>
      </c>
      <c r="E17" s="24" t="s">
        <v>42</v>
      </c>
      <c r="F17" s="25">
        <f ca="1">TODAY()+15018.5-B5/24</f>
        <v>60344.5</v>
      </c>
    </row>
    <row r="18" spans="1:21" ht="14.25" thickTop="1" thickBot="1" x14ac:dyDescent="0.25">
      <c r="A18" s="26" t="s">
        <v>7</v>
      </c>
      <c r="B18" s="11"/>
      <c r="C18" s="28">
        <f ca="1">+C15</f>
        <v>57911.491512979264</v>
      </c>
      <c r="D18" s="29">
        <f ca="1">+C16</f>
        <v>1.9567791932020491</v>
      </c>
      <c r="E18" s="24" t="s">
        <v>43</v>
      </c>
      <c r="F18" s="25">
        <f ca="1">ROUND(2*(F17-C15)/C16,0)/2+1</f>
        <v>1244.5</v>
      </c>
    </row>
    <row r="19" spans="1:21" ht="13.5" thickTop="1" x14ac:dyDescent="0.2">
      <c r="E19" s="24" t="s">
        <v>44</v>
      </c>
      <c r="F19" s="27">
        <f ca="1">+C15+C16*F18-15018.5-C5/24</f>
        <v>45328.599052252554</v>
      </c>
    </row>
    <row r="20" spans="1:21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57</v>
      </c>
      <c r="I20" s="10" t="s">
        <v>60</v>
      </c>
      <c r="J20" s="10" t="s">
        <v>54</v>
      </c>
      <c r="K20" s="10" t="s">
        <v>52</v>
      </c>
      <c r="L20" s="10" t="s">
        <v>30</v>
      </c>
      <c r="M20" s="10" t="s">
        <v>31</v>
      </c>
      <c r="N20" s="10" t="s">
        <v>32</v>
      </c>
      <c r="O20" s="10" t="s">
        <v>26</v>
      </c>
      <c r="P20" s="9" t="s">
        <v>25</v>
      </c>
      <c r="Q20" s="7" t="s">
        <v>17</v>
      </c>
      <c r="U20" s="51" t="s">
        <v>212</v>
      </c>
    </row>
    <row r="21" spans="1:21" x14ac:dyDescent="0.2">
      <c r="A21" s="50" t="s">
        <v>213</v>
      </c>
      <c r="B21" s="49" t="s">
        <v>48</v>
      </c>
      <c r="C21" s="50">
        <v>32775.464999999997</v>
      </c>
      <c r="D21" s="50" t="s">
        <v>57</v>
      </c>
      <c r="E21">
        <f t="shared" ref="E21:E62" si="0">+(C21-C$7)/C$8</f>
        <v>-3882.0337704448784</v>
      </c>
      <c r="F21">
        <f t="shared" ref="F21:F64" si="1">ROUND(2*E21,0)/2</f>
        <v>-3882</v>
      </c>
      <c r="G21">
        <f t="shared" ref="G21:G62" si="2">+C21-(C$7+F21*C$8)</f>
        <v>-6.6078360003302805E-2</v>
      </c>
      <c r="H21">
        <f t="shared" ref="H21:H30" si="3">+G21</f>
        <v>-6.6078360003302805E-2</v>
      </c>
      <c r="Q21" s="2">
        <f t="shared" ref="Q21:Q62" si="4">+C21-15018.5</f>
        <v>17756.964999999997</v>
      </c>
      <c r="R21" s="50"/>
    </row>
    <row r="22" spans="1:21" x14ac:dyDescent="0.2">
      <c r="A22" s="50" t="s">
        <v>213</v>
      </c>
      <c r="B22" s="49" t="s">
        <v>35</v>
      </c>
      <c r="C22" s="50">
        <v>33506.322</v>
      </c>
      <c r="D22" s="50" t="s">
        <v>57</v>
      </c>
      <c r="E22">
        <f t="shared" si="0"/>
        <v>-3508.5171451764809</v>
      </c>
      <c r="F22">
        <f t="shared" si="1"/>
        <v>-3508.5</v>
      </c>
      <c r="G22">
        <f t="shared" si="2"/>
        <v>-3.3547830003954004E-2</v>
      </c>
      <c r="H22">
        <f t="shared" si="3"/>
        <v>-3.3547830003954004E-2</v>
      </c>
      <c r="Q22" s="2">
        <f t="shared" si="4"/>
        <v>18487.822</v>
      </c>
      <c r="R22" s="50"/>
    </row>
    <row r="23" spans="1:21" x14ac:dyDescent="0.2">
      <c r="A23" s="50" t="s">
        <v>213</v>
      </c>
      <c r="B23" s="49" t="s">
        <v>48</v>
      </c>
      <c r="C23" s="50">
        <v>34133.478999999999</v>
      </c>
      <c r="D23" s="50" t="s">
        <v>57</v>
      </c>
      <c r="E23">
        <f t="shared" si="0"/>
        <v>-3187.9981296187852</v>
      </c>
      <c r="F23">
        <f t="shared" si="1"/>
        <v>-3188</v>
      </c>
      <c r="G23">
        <f t="shared" si="2"/>
        <v>3.6597599973902106E-3</v>
      </c>
      <c r="H23">
        <f t="shared" si="3"/>
        <v>3.6597599973902106E-3</v>
      </c>
      <c r="Q23" s="2">
        <f t="shared" si="4"/>
        <v>19114.978999999999</v>
      </c>
      <c r="R23" s="50"/>
    </row>
    <row r="24" spans="1:21" x14ac:dyDescent="0.2">
      <c r="A24" s="50" t="s">
        <v>213</v>
      </c>
      <c r="B24" s="49" t="s">
        <v>35</v>
      </c>
      <c r="C24" s="50">
        <v>34134.474000000002</v>
      </c>
      <c r="D24" s="50" t="s">
        <v>57</v>
      </c>
      <c r="E24">
        <f t="shared" si="0"/>
        <v>-3187.4896183202095</v>
      </c>
      <c r="F24">
        <f t="shared" si="1"/>
        <v>-3187.5</v>
      </c>
      <c r="G24">
        <f t="shared" si="2"/>
        <v>2.0313749999331776E-2</v>
      </c>
      <c r="H24">
        <f t="shared" si="3"/>
        <v>2.0313749999331776E-2</v>
      </c>
      <c r="Q24" s="2">
        <f t="shared" si="4"/>
        <v>19115.974000000002</v>
      </c>
      <c r="R24" s="50"/>
    </row>
    <row r="25" spans="1:21" x14ac:dyDescent="0.2">
      <c r="A25" s="50" t="s">
        <v>213</v>
      </c>
      <c r="B25" s="49" t="s">
        <v>48</v>
      </c>
      <c r="C25" s="50">
        <v>34626.548000000003</v>
      </c>
      <c r="D25" s="50" t="s">
        <v>57</v>
      </c>
      <c r="E25">
        <f t="shared" si="0"/>
        <v>-2936.0070165768852</v>
      </c>
      <c r="F25">
        <f t="shared" si="1"/>
        <v>-2936</v>
      </c>
      <c r="G25">
        <f t="shared" si="2"/>
        <v>-1.3729279999097344E-2</v>
      </c>
      <c r="H25">
        <f t="shared" si="3"/>
        <v>-1.3729279999097344E-2</v>
      </c>
      <c r="Q25" s="2">
        <f t="shared" si="4"/>
        <v>19608.048000000003</v>
      </c>
      <c r="R25" s="50"/>
    </row>
    <row r="26" spans="1:21" x14ac:dyDescent="0.2">
      <c r="A26" s="50" t="s">
        <v>213</v>
      </c>
      <c r="B26" s="49" t="s">
        <v>35</v>
      </c>
      <c r="C26" s="50">
        <v>34627.595000000001</v>
      </c>
      <c r="D26" s="50" t="s">
        <v>57</v>
      </c>
      <c r="E26">
        <f t="shared" si="0"/>
        <v>-2935.4719298134614</v>
      </c>
      <c r="F26">
        <f t="shared" si="1"/>
        <v>-2935.5</v>
      </c>
      <c r="G26">
        <f t="shared" si="2"/>
        <v>5.4924709998886101E-2</v>
      </c>
      <c r="H26">
        <f t="shared" si="3"/>
        <v>5.4924709998886101E-2</v>
      </c>
      <c r="Q26" s="2">
        <f t="shared" si="4"/>
        <v>19609.095000000001</v>
      </c>
      <c r="R26" s="50"/>
    </row>
    <row r="27" spans="1:21" x14ac:dyDescent="0.2">
      <c r="A27" s="50" t="s">
        <v>213</v>
      </c>
      <c r="B27" s="49" t="s">
        <v>48</v>
      </c>
      <c r="C27" s="50">
        <v>34628.521999999997</v>
      </c>
      <c r="D27" s="50" t="s">
        <v>57</v>
      </c>
      <c r="E27">
        <f t="shared" si="0"/>
        <v>-2934.9981710458474</v>
      </c>
      <c r="F27">
        <f t="shared" si="1"/>
        <v>-2935</v>
      </c>
      <c r="G27">
        <f t="shared" si="2"/>
        <v>3.5786999942502007E-3</v>
      </c>
      <c r="H27">
        <f t="shared" si="3"/>
        <v>3.5786999942502007E-3</v>
      </c>
      <c r="Q27" s="2">
        <f t="shared" si="4"/>
        <v>19610.021999999997</v>
      </c>
      <c r="R27" s="50"/>
    </row>
    <row r="28" spans="1:21" x14ac:dyDescent="0.2">
      <c r="A28" s="50" t="s">
        <v>213</v>
      </c>
      <c r="B28" s="49" t="s">
        <v>35</v>
      </c>
      <c r="C28" s="50">
        <v>34629.563000000002</v>
      </c>
      <c r="D28" s="50" t="s">
        <v>57</v>
      </c>
      <c r="E28">
        <f t="shared" si="0"/>
        <v>-2934.4661506822108</v>
      </c>
      <c r="F28">
        <f t="shared" si="1"/>
        <v>-2934.5</v>
      </c>
      <c r="G28">
        <f t="shared" si="2"/>
        <v>6.6232689998287242E-2</v>
      </c>
      <c r="H28">
        <f t="shared" si="3"/>
        <v>6.6232689998287242E-2</v>
      </c>
      <c r="Q28" s="2">
        <f t="shared" si="4"/>
        <v>19611.063000000002</v>
      </c>
      <c r="R28" s="50"/>
    </row>
    <row r="29" spans="1:21" x14ac:dyDescent="0.2">
      <c r="A29" s="50" t="s">
        <v>213</v>
      </c>
      <c r="B29" s="49" t="s">
        <v>48</v>
      </c>
      <c r="C29" s="50">
        <v>35309.455999999998</v>
      </c>
      <c r="D29" s="50" t="s">
        <v>57</v>
      </c>
      <c r="E29">
        <f t="shared" si="0"/>
        <v>-2586.9955252334516</v>
      </c>
      <c r="F29">
        <f t="shared" si="1"/>
        <v>-2587</v>
      </c>
      <c r="G29">
        <f t="shared" si="2"/>
        <v>8.7557399965589866E-3</v>
      </c>
      <c r="H29">
        <f t="shared" si="3"/>
        <v>8.7557399965589866E-3</v>
      </c>
      <c r="Q29" s="2">
        <f t="shared" si="4"/>
        <v>20290.955999999998</v>
      </c>
      <c r="R29" s="50"/>
    </row>
    <row r="30" spans="1:21" x14ac:dyDescent="0.2">
      <c r="A30" s="50" t="s">
        <v>213</v>
      </c>
      <c r="B30" s="49" t="s">
        <v>48</v>
      </c>
      <c r="C30" s="50">
        <v>35360.31</v>
      </c>
      <c r="D30" s="50" t="s">
        <v>57</v>
      </c>
      <c r="E30">
        <f t="shared" si="0"/>
        <v>-2561.005742743308</v>
      </c>
      <c r="F30">
        <f t="shared" si="1"/>
        <v>-2561</v>
      </c>
      <c r="G30">
        <f t="shared" si="2"/>
        <v>-1.1236780002946034E-2</v>
      </c>
      <c r="H30">
        <f t="shared" si="3"/>
        <v>-1.1236780002946034E-2</v>
      </c>
      <c r="Q30" s="2">
        <f t="shared" si="4"/>
        <v>20341.809999999998</v>
      </c>
      <c r="R30" s="50"/>
    </row>
    <row r="31" spans="1:21" x14ac:dyDescent="0.2">
      <c r="A31" s="50" t="s">
        <v>213</v>
      </c>
      <c r="B31" s="49" t="s">
        <v>35</v>
      </c>
      <c r="C31" s="50">
        <v>40366.493000000002</v>
      </c>
      <c r="D31" s="50" t="s">
        <v>54</v>
      </c>
      <c r="E31">
        <f t="shared" si="0"/>
        <v>-2.5126590949143646</v>
      </c>
      <c r="F31">
        <f t="shared" si="1"/>
        <v>-2.5</v>
      </c>
      <c r="G31">
        <f t="shared" si="2"/>
        <v>-2.4769949995970819E-2</v>
      </c>
      <c r="J31">
        <f>+G31</f>
        <v>-2.4769949995970819E-2</v>
      </c>
      <c r="Q31" s="2">
        <f t="shared" si="4"/>
        <v>25347.993000000002</v>
      </c>
      <c r="R31" s="50"/>
    </row>
    <row r="32" spans="1:21" x14ac:dyDescent="0.2">
      <c r="A32" s="50" t="s">
        <v>213</v>
      </c>
      <c r="B32" s="49" t="s">
        <v>48</v>
      </c>
      <c r="C32" s="50">
        <v>40369.434999999998</v>
      </c>
      <c r="D32" s="50" t="s">
        <v>54</v>
      </c>
      <c r="E32">
        <f t="shared" si="0"/>
        <v>-1.0091010643585596</v>
      </c>
      <c r="F32">
        <f t="shared" si="1"/>
        <v>-1</v>
      </c>
      <c r="G32">
        <f t="shared" si="2"/>
        <v>-1.7807980002544355E-2</v>
      </c>
      <c r="J32">
        <f>+G32</f>
        <v>-1.7807980002544355E-2</v>
      </c>
      <c r="Q32" s="2">
        <f t="shared" si="4"/>
        <v>25350.934999999998</v>
      </c>
      <c r="R32" s="50"/>
    </row>
    <row r="33" spans="1:18" x14ac:dyDescent="0.2">
      <c r="A33" s="50" t="s">
        <v>213</v>
      </c>
      <c r="B33" s="49" t="s">
        <v>35</v>
      </c>
      <c r="C33" s="50">
        <v>40370.415000000001</v>
      </c>
      <c r="D33" s="50" t="s">
        <v>54</v>
      </c>
      <c r="E33">
        <f t="shared" si="0"/>
        <v>-0.50825576525870353</v>
      </c>
      <c r="F33">
        <f t="shared" si="1"/>
        <v>-0.5</v>
      </c>
      <c r="G33">
        <f t="shared" si="2"/>
        <v>-1.6153990000020713E-2</v>
      </c>
      <c r="J33">
        <f>+G33</f>
        <v>-1.6153990000020713E-2</v>
      </c>
      <c r="Q33" s="2">
        <f t="shared" si="4"/>
        <v>25351.915000000001</v>
      </c>
      <c r="R33" s="50"/>
    </row>
    <row r="34" spans="1:18" x14ac:dyDescent="0.2">
      <c r="A34" s="50" t="s">
        <v>213</v>
      </c>
      <c r="B34" s="49" t="s">
        <v>48</v>
      </c>
      <c r="C34" s="50">
        <v>40371.400999999998</v>
      </c>
      <c r="D34" s="50" t="s">
        <v>54</v>
      </c>
      <c r="E34">
        <f t="shared" si="0"/>
        <v>-4.344066371544086E-3</v>
      </c>
      <c r="F34">
        <f t="shared" si="1"/>
        <v>0</v>
      </c>
      <c r="G34">
        <f t="shared" si="2"/>
        <v>-8.5000000035506673E-3</v>
      </c>
      <c r="J34">
        <f>+G34</f>
        <v>-8.5000000035506673E-3</v>
      </c>
      <c r="Q34" s="2">
        <f t="shared" si="4"/>
        <v>25352.900999999998</v>
      </c>
      <c r="R34" s="50"/>
    </row>
    <row r="35" spans="1:18" x14ac:dyDescent="0.2">
      <c r="A35" t="s">
        <v>14</v>
      </c>
      <c r="B35" s="6"/>
      <c r="C35" s="19">
        <v>40371.409500000002</v>
      </c>
      <c r="D35" s="19" t="s">
        <v>16</v>
      </c>
      <c r="E35">
        <f t="shared" si="0"/>
        <v>0</v>
      </c>
      <c r="F35">
        <f t="shared" si="1"/>
        <v>0</v>
      </c>
      <c r="G35">
        <f t="shared" si="2"/>
        <v>0</v>
      </c>
      <c r="H35" s="52">
        <f>G35</f>
        <v>0</v>
      </c>
      <c r="Q35" s="2">
        <f t="shared" si="4"/>
        <v>25352.909500000002</v>
      </c>
    </row>
    <row r="36" spans="1:18" x14ac:dyDescent="0.2">
      <c r="A36" s="50" t="s">
        <v>213</v>
      </c>
      <c r="B36" s="49" t="s">
        <v>35</v>
      </c>
      <c r="C36" s="50">
        <v>40372.358999999997</v>
      </c>
      <c r="D36" s="50" t="s">
        <v>54</v>
      </c>
      <c r="E36">
        <f t="shared" si="0"/>
        <v>0.48525776682789801</v>
      </c>
      <c r="F36">
        <f t="shared" si="1"/>
        <v>0.5</v>
      </c>
      <c r="G36">
        <f t="shared" si="2"/>
        <v>-2.8846010005509015E-2</v>
      </c>
      <c r="J36">
        <f t="shared" ref="J36:J54" si="5">+G36</f>
        <v>-2.8846010005509015E-2</v>
      </c>
      <c r="Q36" s="2">
        <f t="shared" si="4"/>
        <v>25353.858999999997</v>
      </c>
      <c r="R36" s="50"/>
    </row>
    <row r="37" spans="1:18" x14ac:dyDescent="0.2">
      <c r="A37" s="50" t="s">
        <v>213</v>
      </c>
      <c r="B37" s="49" t="s">
        <v>48</v>
      </c>
      <c r="C37" s="50">
        <v>40373.358</v>
      </c>
      <c r="D37" s="50" t="s">
        <v>54</v>
      </c>
      <c r="E37">
        <f t="shared" si="0"/>
        <v>0.99581333193079768</v>
      </c>
      <c r="F37">
        <f t="shared" si="1"/>
        <v>1</v>
      </c>
      <c r="G37">
        <f t="shared" si="2"/>
        <v>-8.1920200027525425E-3</v>
      </c>
      <c r="J37">
        <f t="shared" si="5"/>
        <v>-8.1920200027525425E-3</v>
      </c>
      <c r="Q37" s="2">
        <f t="shared" si="4"/>
        <v>25354.858</v>
      </c>
      <c r="R37" s="50"/>
    </row>
    <row r="38" spans="1:18" x14ac:dyDescent="0.2">
      <c r="A38" s="50" t="s">
        <v>213</v>
      </c>
      <c r="B38" s="49" t="s">
        <v>48</v>
      </c>
      <c r="C38" s="50">
        <v>40467.262999999999</v>
      </c>
      <c r="D38" s="50" t="s">
        <v>54</v>
      </c>
      <c r="E38">
        <f t="shared" si="0"/>
        <v>48.987525384806055</v>
      </c>
      <c r="F38">
        <f t="shared" si="1"/>
        <v>49</v>
      </c>
      <c r="G38">
        <f t="shared" si="2"/>
        <v>-2.4408980003499892E-2</v>
      </c>
      <c r="J38">
        <f t="shared" si="5"/>
        <v>-2.4408980003499892E-2</v>
      </c>
      <c r="Q38" s="2">
        <f t="shared" si="4"/>
        <v>25448.762999999999</v>
      </c>
      <c r="R38" s="50"/>
    </row>
    <row r="39" spans="1:18" x14ac:dyDescent="0.2">
      <c r="A39" s="50" t="s">
        <v>213</v>
      </c>
      <c r="B39" s="49" t="s">
        <v>48</v>
      </c>
      <c r="C39" s="50">
        <v>40469.233999999997</v>
      </c>
      <c r="D39" s="50" t="s">
        <v>54</v>
      </c>
      <c r="E39">
        <f t="shared" si="0"/>
        <v>49.994837715950396</v>
      </c>
      <c r="F39">
        <f t="shared" si="1"/>
        <v>50</v>
      </c>
      <c r="G39">
        <f t="shared" si="2"/>
        <v>-1.0101000007125549E-2</v>
      </c>
      <c r="J39">
        <f t="shared" si="5"/>
        <v>-1.0101000007125549E-2</v>
      </c>
      <c r="Q39" s="2">
        <f t="shared" si="4"/>
        <v>25450.733999999997</v>
      </c>
      <c r="R39" s="50"/>
    </row>
    <row r="40" spans="1:18" x14ac:dyDescent="0.2">
      <c r="A40" s="50" t="s">
        <v>213</v>
      </c>
      <c r="B40" s="49" t="s">
        <v>48</v>
      </c>
      <c r="C40" s="50">
        <v>40811.68</v>
      </c>
      <c r="D40" s="50" t="s">
        <v>54</v>
      </c>
      <c r="E40">
        <f t="shared" si="0"/>
        <v>225.00756148634915</v>
      </c>
      <c r="F40">
        <f t="shared" si="1"/>
        <v>225</v>
      </c>
      <c r="G40">
        <f t="shared" si="2"/>
        <v>1.4795499999308959E-2</v>
      </c>
      <c r="J40">
        <f t="shared" si="5"/>
        <v>1.4795499999308959E-2</v>
      </c>
      <c r="Q40" s="2">
        <f t="shared" si="4"/>
        <v>25793.18</v>
      </c>
      <c r="R40" s="50"/>
    </row>
    <row r="41" spans="1:18" x14ac:dyDescent="0.2">
      <c r="A41" s="50" t="s">
        <v>213</v>
      </c>
      <c r="B41" s="49" t="s">
        <v>35</v>
      </c>
      <c r="C41" s="50">
        <v>40812.658000000003</v>
      </c>
      <c r="D41" s="50" t="s">
        <v>54</v>
      </c>
      <c r="E41">
        <f t="shared" si="0"/>
        <v>225.50738465218532</v>
      </c>
      <c r="F41">
        <f t="shared" si="1"/>
        <v>225.5</v>
      </c>
      <c r="G41">
        <f t="shared" si="2"/>
        <v>1.4449490001425147E-2</v>
      </c>
      <c r="J41">
        <f t="shared" si="5"/>
        <v>1.4449490001425147E-2</v>
      </c>
      <c r="Q41" s="2">
        <f t="shared" si="4"/>
        <v>25794.158000000003</v>
      </c>
      <c r="R41" s="50"/>
    </row>
    <row r="42" spans="1:18" x14ac:dyDescent="0.2">
      <c r="A42" s="50" t="s">
        <v>213</v>
      </c>
      <c r="B42" s="49" t="s">
        <v>35</v>
      </c>
      <c r="C42" s="50">
        <v>40824.404999999999</v>
      </c>
      <c r="D42" s="50" t="s">
        <v>54</v>
      </c>
      <c r="E42">
        <f t="shared" si="0"/>
        <v>231.51088437514926</v>
      </c>
      <c r="F42">
        <f t="shared" si="1"/>
        <v>231.5</v>
      </c>
      <c r="G42">
        <f t="shared" si="2"/>
        <v>2.1297369996318594E-2</v>
      </c>
      <c r="J42">
        <f t="shared" si="5"/>
        <v>2.1297369996318594E-2</v>
      </c>
      <c r="Q42" s="2">
        <f t="shared" si="4"/>
        <v>25805.904999999999</v>
      </c>
      <c r="R42" s="50"/>
    </row>
    <row r="43" spans="1:18" x14ac:dyDescent="0.2">
      <c r="A43" s="50" t="s">
        <v>213</v>
      </c>
      <c r="B43" s="49" t="s">
        <v>48</v>
      </c>
      <c r="C43" s="50">
        <v>40825.379000000001</v>
      </c>
      <c r="D43" s="50" t="s">
        <v>54</v>
      </c>
      <c r="E43">
        <f t="shared" si="0"/>
        <v>232.00866327445812</v>
      </c>
      <c r="F43">
        <f t="shared" si="1"/>
        <v>232</v>
      </c>
      <c r="G43">
        <f t="shared" si="2"/>
        <v>1.6951359997619875E-2</v>
      </c>
      <c r="J43">
        <f t="shared" si="5"/>
        <v>1.6951359997619875E-2</v>
      </c>
      <c r="Q43" s="2">
        <f t="shared" si="4"/>
        <v>25806.879000000001</v>
      </c>
      <c r="R43" s="50"/>
    </row>
    <row r="44" spans="1:18" x14ac:dyDescent="0.2">
      <c r="A44" s="50" t="s">
        <v>213</v>
      </c>
      <c r="B44" s="49" t="s">
        <v>48</v>
      </c>
      <c r="C44" s="50">
        <v>40827.330999999998</v>
      </c>
      <c r="D44" s="50" t="s">
        <v>54</v>
      </c>
      <c r="E44">
        <f t="shared" si="0"/>
        <v>233.00626533959939</v>
      </c>
      <c r="F44">
        <f t="shared" si="1"/>
        <v>233</v>
      </c>
      <c r="G44">
        <f t="shared" si="2"/>
        <v>1.2259339993761387E-2</v>
      </c>
      <c r="J44">
        <f t="shared" si="5"/>
        <v>1.2259339993761387E-2</v>
      </c>
      <c r="Q44" s="2">
        <f t="shared" si="4"/>
        <v>25808.830999999998</v>
      </c>
      <c r="R44" s="50"/>
    </row>
    <row r="45" spans="1:18" x14ac:dyDescent="0.2">
      <c r="A45" s="50" t="s">
        <v>213</v>
      </c>
      <c r="B45" s="49" t="s">
        <v>35</v>
      </c>
      <c r="C45" s="50">
        <v>40828.307999999997</v>
      </c>
      <c r="D45" s="50" t="s">
        <v>54</v>
      </c>
      <c r="E45">
        <f t="shared" si="0"/>
        <v>233.50557743880188</v>
      </c>
      <c r="F45">
        <f t="shared" si="1"/>
        <v>233.5</v>
      </c>
      <c r="G45">
        <f t="shared" si="2"/>
        <v>1.091332999203587E-2</v>
      </c>
      <c r="J45">
        <f t="shared" si="5"/>
        <v>1.091332999203587E-2</v>
      </c>
      <c r="Q45" s="2">
        <f t="shared" si="4"/>
        <v>25809.807999999997</v>
      </c>
      <c r="R45" s="50"/>
    </row>
    <row r="46" spans="1:18" x14ac:dyDescent="0.2">
      <c r="A46" s="50" t="s">
        <v>213</v>
      </c>
      <c r="B46" s="49" t="s">
        <v>35</v>
      </c>
      <c r="C46" s="50">
        <v>40875.273000000001</v>
      </c>
      <c r="D46" s="50" t="s">
        <v>54</v>
      </c>
      <c r="E46">
        <f t="shared" si="0"/>
        <v>257.50782179813842</v>
      </c>
      <c r="F46">
        <f t="shared" si="1"/>
        <v>257.5</v>
      </c>
      <c r="G46">
        <f t="shared" si="2"/>
        <v>1.5304849999665748E-2</v>
      </c>
      <c r="J46">
        <f t="shared" si="5"/>
        <v>1.5304849999665748E-2</v>
      </c>
      <c r="Q46" s="2">
        <f t="shared" si="4"/>
        <v>25856.773000000001</v>
      </c>
      <c r="R46" s="50"/>
    </row>
    <row r="47" spans="1:18" x14ac:dyDescent="0.2">
      <c r="A47" s="12" t="s">
        <v>34</v>
      </c>
      <c r="B47" s="13" t="s">
        <v>35</v>
      </c>
      <c r="C47" s="20">
        <v>48095.509899999997</v>
      </c>
      <c r="D47" s="19" t="s">
        <v>16</v>
      </c>
      <c r="E47">
        <f t="shared" si="0"/>
        <v>3947.529974594569</v>
      </c>
      <c r="F47">
        <f t="shared" si="1"/>
        <v>3947.5</v>
      </c>
      <c r="G47">
        <f t="shared" si="2"/>
        <v>5.8651049992477056E-2</v>
      </c>
      <c r="J47">
        <f t="shared" si="5"/>
        <v>5.8651049992477056E-2</v>
      </c>
      <c r="Q47" s="2">
        <f t="shared" si="4"/>
        <v>33077.009899999997</v>
      </c>
    </row>
    <row r="48" spans="1:18" x14ac:dyDescent="0.2">
      <c r="A48" s="11" t="s">
        <v>39</v>
      </c>
      <c r="B48" s="62"/>
      <c r="C48" s="19">
        <v>53569.392599999999</v>
      </c>
      <c r="D48" s="19">
        <v>1E-3</v>
      </c>
      <c r="E48">
        <f t="shared" si="0"/>
        <v>6745.0487685844382</v>
      </c>
      <c r="F48">
        <f t="shared" si="1"/>
        <v>6745</v>
      </c>
      <c r="G48">
        <f t="shared" si="2"/>
        <v>9.5425100000284147E-2</v>
      </c>
      <c r="J48">
        <f t="shared" si="5"/>
        <v>9.5425100000284147E-2</v>
      </c>
      <c r="O48">
        <f t="shared" ref="O48:O62" ca="1" si="6">+C$11+C$12*$F48</f>
        <v>0.10130836391820863</v>
      </c>
      <c r="Q48" s="2">
        <f t="shared" si="4"/>
        <v>38550.892599999999</v>
      </c>
    </row>
    <row r="49" spans="1:21" x14ac:dyDescent="0.2">
      <c r="A49" s="11" t="s">
        <v>39</v>
      </c>
      <c r="B49" s="6" t="s">
        <v>35</v>
      </c>
      <c r="C49" s="19">
        <v>53611.464999999997</v>
      </c>
      <c r="D49" s="19">
        <v>1.4E-3</v>
      </c>
      <c r="E49">
        <f t="shared" si="0"/>
        <v>6766.5505683413558</v>
      </c>
      <c r="F49">
        <f t="shared" si="1"/>
        <v>6766.5</v>
      </c>
      <c r="G49">
        <f t="shared" si="2"/>
        <v>9.8946669997530989E-2</v>
      </c>
      <c r="J49">
        <f t="shared" si="5"/>
        <v>9.8946669997530989E-2</v>
      </c>
      <c r="O49">
        <f t="shared" ca="1" si="6"/>
        <v>0.10318258776226497</v>
      </c>
      <c r="Q49" s="2">
        <f t="shared" si="4"/>
        <v>38592.964999999997</v>
      </c>
    </row>
    <row r="50" spans="1:21" x14ac:dyDescent="0.2">
      <c r="A50" s="11" t="s">
        <v>39</v>
      </c>
      <c r="B50" s="62"/>
      <c r="C50" s="19">
        <v>53612.458200000001</v>
      </c>
      <c r="D50" s="19">
        <v>6.9999999999999999E-4</v>
      </c>
      <c r="E50">
        <f t="shared" si="0"/>
        <v>6767.0581597199953</v>
      </c>
      <c r="F50">
        <f t="shared" si="1"/>
        <v>6767</v>
      </c>
      <c r="G50">
        <f t="shared" si="2"/>
        <v>0.11380066000128863</v>
      </c>
      <c r="J50">
        <f t="shared" si="5"/>
        <v>0.11380066000128863</v>
      </c>
      <c r="O50">
        <f t="shared" ca="1" si="6"/>
        <v>0.10322617436328951</v>
      </c>
      <c r="Q50" s="2">
        <f t="shared" si="4"/>
        <v>38593.958200000001</v>
      </c>
    </row>
    <row r="51" spans="1:21" x14ac:dyDescent="0.2">
      <c r="A51" s="11" t="s">
        <v>39</v>
      </c>
      <c r="B51" s="62"/>
      <c r="C51" s="19">
        <v>53659.411800000002</v>
      </c>
      <c r="D51" s="19">
        <v>2.5999999999999999E-3</v>
      </c>
      <c r="E51">
        <f t="shared" si="0"/>
        <v>6791.0545779197282</v>
      </c>
      <c r="F51">
        <f t="shared" si="1"/>
        <v>6791</v>
      </c>
      <c r="G51">
        <f t="shared" si="2"/>
        <v>0.10679217999859247</v>
      </c>
      <c r="J51">
        <f t="shared" si="5"/>
        <v>0.10679217999859247</v>
      </c>
      <c r="O51">
        <f t="shared" ca="1" si="6"/>
        <v>0.1053183312124687</v>
      </c>
      <c r="Q51" s="2">
        <f t="shared" si="4"/>
        <v>38640.911800000002</v>
      </c>
    </row>
    <row r="52" spans="1:21" x14ac:dyDescent="0.2">
      <c r="A52" s="11" t="s">
        <v>39</v>
      </c>
      <c r="B52" s="62"/>
      <c r="C52" s="19">
        <v>53661.375899999999</v>
      </c>
      <c r="D52" s="19">
        <v>3.7000000000000002E-3</v>
      </c>
      <c r="E52">
        <f t="shared" si="0"/>
        <v>6792.058363891113</v>
      </c>
      <c r="F52">
        <f t="shared" si="1"/>
        <v>6792</v>
      </c>
      <c r="G52">
        <f t="shared" si="2"/>
        <v>0.11420015999465249</v>
      </c>
      <c r="J52">
        <f t="shared" si="5"/>
        <v>0.11420015999465249</v>
      </c>
      <c r="O52">
        <f t="shared" ca="1" si="6"/>
        <v>0.10540550441451779</v>
      </c>
      <c r="Q52" s="2">
        <f t="shared" si="4"/>
        <v>38642.875899999999</v>
      </c>
    </row>
    <row r="53" spans="1:21" x14ac:dyDescent="0.2">
      <c r="A53" s="11" t="s">
        <v>39</v>
      </c>
      <c r="B53" s="62"/>
      <c r="C53" s="19">
        <v>53661.3773</v>
      </c>
      <c r="D53" s="19">
        <v>6.3E-3</v>
      </c>
      <c r="E53">
        <f t="shared" si="0"/>
        <v>6792.0590793843985</v>
      </c>
      <c r="F53">
        <f t="shared" si="1"/>
        <v>6792</v>
      </c>
      <c r="G53">
        <f t="shared" si="2"/>
        <v>0.11560015999566531</v>
      </c>
      <c r="J53">
        <f t="shared" si="5"/>
        <v>0.11560015999566531</v>
      </c>
      <c r="O53">
        <f t="shared" ca="1" si="6"/>
        <v>0.10540550441451779</v>
      </c>
      <c r="Q53" s="2">
        <f t="shared" si="4"/>
        <v>38642.8773</v>
      </c>
    </row>
    <row r="54" spans="1:21" x14ac:dyDescent="0.2">
      <c r="A54" s="30" t="s">
        <v>45</v>
      </c>
      <c r="B54" s="6" t="s">
        <v>35</v>
      </c>
      <c r="C54" s="19">
        <v>54024.353799999997</v>
      </c>
      <c r="D54" s="19">
        <v>6.1000000000000004E-3</v>
      </c>
      <c r="E54">
        <f t="shared" si="0"/>
        <v>6977.5642566375855</v>
      </c>
      <c r="F54">
        <f t="shared" si="1"/>
        <v>6977.5</v>
      </c>
      <c r="G54">
        <f t="shared" si="2"/>
        <v>0.12573044999589911</v>
      </c>
      <c r="J54">
        <f t="shared" si="5"/>
        <v>0.12573044999589911</v>
      </c>
      <c r="O54">
        <f t="shared" ca="1" si="6"/>
        <v>0.12157613339463158</v>
      </c>
      <c r="Q54" s="2">
        <f t="shared" si="4"/>
        <v>39005.853799999997</v>
      </c>
    </row>
    <row r="55" spans="1:21" x14ac:dyDescent="0.2">
      <c r="A55" s="50" t="s">
        <v>182</v>
      </c>
      <c r="B55" s="49" t="s">
        <v>35</v>
      </c>
      <c r="C55" s="50">
        <v>54649.543799999999</v>
      </c>
      <c r="D55" s="50" t="s">
        <v>60</v>
      </c>
      <c r="E55">
        <f t="shared" si="0"/>
        <v>7297.0780041306643</v>
      </c>
      <c r="F55">
        <f t="shared" si="1"/>
        <v>7297</v>
      </c>
      <c r="G55">
        <f t="shared" si="2"/>
        <v>0.15263005999440793</v>
      </c>
      <c r="I55">
        <f>+G55</f>
        <v>0.15263005999440793</v>
      </c>
      <c r="O55">
        <f t="shared" ca="1" si="6"/>
        <v>0.14942797144932884</v>
      </c>
      <c r="Q55" s="2">
        <f t="shared" si="4"/>
        <v>39631.043799999999</v>
      </c>
    </row>
    <row r="56" spans="1:21" x14ac:dyDescent="0.2">
      <c r="A56" s="53" t="s">
        <v>47</v>
      </c>
      <c r="B56" s="54" t="s">
        <v>48</v>
      </c>
      <c r="C56" s="53">
        <v>54698.451520000002</v>
      </c>
      <c r="D56" s="53">
        <v>5.9999999999999995E-4</v>
      </c>
      <c r="E56">
        <f t="shared" si="0"/>
        <v>7322.0731078568006</v>
      </c>
      <c r="F56">
        <f t="shared" si="1"/>
        <v>7322</v>
      </c>
      <c r="G56">
        <f t="shared" si="2"/>
        <v>0.1430495599997812</v>
      </c>
      <c r="K56">
        <f t="shared" ref="K55:K61" si="7">+G56</f>
        <v>0.1430495599997812</v>
      </c>
      <c r="O56">
        <f t="shared" ca="1" si="6"/>
        <v>0.15160730150055712</v>
      </c>
      <c r="Q56" s="2">
        <f t="shared" si="4"/>
        <v>39679.951520000002</v>
      </c>
    </row>
    <row r="57" spans="1:21" x14ac:dyDescent="0.2">
      <c r="A57" s="53" t="s">
        <v>47</v>
      </c>
      <c r="B57" s="54" t="s">
        <v>48</v>
      </c>
      <c r="C57" s="53">
        <v>54698.451719999997</v>
      </c>
      <c r="D57" s="53">
        <v>5.0000000000000001E-4</v>
      </c>
      <c r="E57">
        <f t="shared" si="0"/>
        <v>7322.0732100701243</v>
      </c>
      <c r="F57">
        <f t="shared" si="1"/>
        <v>7322</v>
      </c>
      <c r="G57">
        <f t="shared" si="2"/>
        <v>0.14324955999472877</v>
      </c>
      <c r="K57">
        <f t="shared" si="7"/>
        <v>0.14324955999472877</v>
      </c>
      <c r="O57">
        <f t="shared" ca="1" si="6"/>
        <v>0.15160730150055712</v>
      </c>
      <c r="Q57" s="2">
        <f t="shared" si="4"/>
        <v>39679.951719999997</v>
      </c>
    </row>
    <row r="58" spans="1:21" x14ac:dyDescent="0.2">
      <c r="A58" s="53" t="s">
        <v>47</v>
      </c>
      <c r="B58" s="54" t="s">
        <v>48</v>
      </c>
      <c r="C58" s="53">
        <v>54698.452519999999</v>
      </c>
      <c r="D58" s="53">
        <v>8.0000000000000004E-4</v>
      </c>
      <c r="E58">
        <f t="shared" si="0"/>
        <v>7322.0736189234303</v>
      </c>
      <c r="F58">
        <f t="shared" si="1"/>
        <v>7322</v>
      </c>
      <c r="G58">
        <f t="shared" si="2"/>
        <v>0.14404955999634694</v>
      </c>
      <c r="K58">
        <f t="shared" si="7"/>
        <v>0.14404955999634694</v>
      </c>
      <c r="O58">
        <f t="shared" ca="1" si="6"/>
        <v>0.15160730150055712</v>
      </c>
      <c r="Q58" s="2">
        <f t="shared" si="4"/>
        <v>39679.952519999999</v>
      </c>
    </row>
    <row r="59" spans="1:21" x14ac:dyDescent="0.2">
      <c r="A59" s="50" t="s">
        <v>200</v>
      </c>
      <c r="B59" s="49" t="s">
        <v>35</v>
      </c>
      <c r="C59" s="50">
        <v>55375.496200000001</v>
      </c>
      <c r="D59" s="50" t="s">
        <v>60</v>
      </c>
      <c r="E59">
        <f t="shared" si="0"/>
        <v>7668.0880519970642</v>
      </c>
      <c r="F59">
        <f t="shared" si="1"/>
        <v>7668</v>
      </c>
      <c r="G59">
        <f t="shared" si="2"/>
        <v>0.17229064000275685</v>
      </c>
      <c r="I59">
        <f>+G59</f>
        <v>0.17229064000275685</v>
      </c>
      <c r="O59">
        <f t="shared" ca="1" si="6"/>
        <v>0.18176922940955631</v>
      </c>
      <c r="Q59" s="2">
        <f t="shared" si="4"/>
        <v>40356.996200000001</v>
      </c>
    </row>
    <row r="60" spans="1:21" x14ac:dyDescent="0.2">
      <c r="A60" s="50" t="s">
        <v>204</v>
      </c>
      <c r="B60" s="49" t="s">
        <v>35</v>
      </c>
      <c r="C60" s="50">
        <v>55375.498299999999</v>
      </c>
      <c r="D60" s="50" t="s">
        <v>60</v>
      </c>
      <c r="E60">
        <f t="shared" si="0"/>
        <v>7668.0891252369893</v>
      </c>
      <c r="F60">
        <f t="shared" si="1"/>
        <v>7668</v>
      </c>
      <c r="G60">
        <f t="shared" si="2"/>
        <v>0.17439064000063809</v>
      </c>
      <c r="I60">
        <f>+G60</f>
        <v>0.17439064000063809</v>
      </c>
      <c r="O60">
        <f t="shared" ca="1" si="6"/>
        <v>0.18176922940955631</v>
      </c>
      <c r="Q60" s="2">
        <f t="shared" si="4"/>
        <v>40356.998299999999</v>
      </c>
    </row>
    <row r="61" spans="1:21" x14ac:dyDescent="0.2">
      <c r="A61" s="50" t="s">
        <v>200</v>
      </c>
      <c r="B61" s="49" t="s">
        <v>35</v>
      </c>
      <c r="C61" s="50">
        <v>55690.542999999998</v>
      </c>
      <c r="D61" s="50" t="s">
        <v>60</v>
      </c>
      <c r="E61">
        <f t="shared" si="0"/>
        <v>7829.097958911284</v>
      </c>
      <c r="F61">
        <f t="shared" si="1"/>
        <v>7829</v>
      </c>
      <c r="G61">
        <f t="shared" si="2"/>
        <v>0.19167541999922832</v>
      </c>
      <c r="I61">
        <f>+G61</f>
        <v>0.19167541999922832</v>
      </c>
      <c r="O61">
        <f t="shared" ca="1" si="6"/>
        <v>0.19580411493946637</v>
      </c>
      <c r="Q61" s="2">
        <f t="shared" si="4"/>
        <v>40672.042999999998</v>
      </c>
    </row>
    <row r="62" spans="1:21" x14ac:dyDescent="0.2">
      <c r="A62" s="55" t="s">
        <v>49</v>
      </c>
      <c r="B62" s="56" t="s">
        <v>48</v>
      </c>
      <c r="C62" s="55">
        <v>56871.474199999997</v>
      </c>
      <c r="D62" s="55">
        <v>9.5999999999999992E-3</v>
      </c>
      <c r="E62">
        <f t="shared" si="0"/>
        <v>8432.6324896035476</v>
      </c>
      <c r="F62">
        <f t="shared" si="1"/>
        <v>8432.5</v>
      </c>
      <c r="G62">
        <f t="shared" si="2"/>
        <v>0.25924134999513626</v>
      </c>
      <c r="J62">
        <f>+G62</f>
        <v>0.25924134999513626</v>
      </c>
      <c r="O62">
        <f t="shared" ca="1" si="6"/>
        <v>0.24841314237611678</v>
      </c>
      <c r="Q62" s="2">
        <f t="shared" si="4"/>
        <v>41852.974199999997</v>
      </c>
    </row>
    <row r="63" spans="1:21" x14ac:dyDescent="0.2">
      <c r="A63" s="57" t="s">
        <v>1</v>
      </c>
      <c r="B63" s="58" t="s">
        <v>48</v>
      </c>
      <c r="C63" s="59">
        <v>57278.479800000001</v>
      </c>
      <c r="D63" s="59">
        <v>9.4000000000000004E-3</v>
      </c>
      <c r="E63">
        <f>+(C63-C$7)/C$8</f>
        <v>8640.6394706919691</v>
      </c>
      <c r="F63">
        <f t="shared" si="1"/>
        <v>8640.5</v>
      </c>
      <c r="G63">
        <f>+C63-(C$7+F63*C$8)</f>
        <v>0.27290119000099367</v>
      </c>
      <c r="K63">
        <f>+G63</f>
        <v>0.27290119000099367</v>
      </c>
      <c r="O63">
        <f ca="1">+C$11+C$12*$F63</f>
        <v>0.266545168402336</v>
      </c>
      <c r="Q63" s="2">
        <f>+C63-15018.5</f>
        <v>42259.979800000001</v>
      </c>
    </row>
    <row r="64" spans="1:21" x14ac:dyDescent="0.2">
      <c r="A64" s="60" t="s">
        <v>0</v>
      </c>
      <c r="B64" s="63" t="s">
        <v>48</v>
      </c>
      <c r="C64" s="61">
        <v>57912.400900000001</v>
      </c>
      <c r="D64" s="61">
        <v>1.5E-3</v>
      </c>
      <c r="E64">
        <f>+(C64-C$7)/C$8</f>
        <v>8964.6153920533689</v>
      </c>
      <c r="F64">
        <f t="shared" si="1"/>
        <v>8964.5</v>
      </c>
      <c r="O64">
        <f ca="1">+C$11+C$12*$F64</f>
        <v>0.2947892858662543</v>
      </c>
      <c r="Q64" s="2">
        <f>+C64-15018.5</f>
        <v>42893.900900000001</v>
      </c>
      <c r="U64">
        <f>+C64-(C$7+F64*C$8)</f>
        <v>0.22578670999791939</v>
      </c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</sheetData>
  <phoneticPr fontId="8" type="noConversion"/>
  <hyperlinks>
    <hyperlink ref="H944" r:id="rId1" display="http://vsolj.cetus-net.org/bulletin.html"/>
    <hyperlink ref="H64620" r:id="rId2" display="http://vsolj.cetus-net.org/bulletin.html"/>
    <hyperlink ref="H64613" r:id="rId3" display="https://www.aavso.org/ejaavso"/>
    <hyperlink ref="AP764" r:id="rId4" display="http://cdsbib.u-strasbg.fr/cgi-bin/cdsbib?1990RMxAA..21..381G"/>
    <hyperlink ref="AP768" r:id="rId5" display="http://cdsbib.u-strasbg.fr/cgi-bin/cdsbib?1990RMxAA..21..381G"/>
    <hyperlink ref="AP767" r:id="rId6" display="http://cdsbib.u-strasbg.fr/cgi-bin/cdsbib?1990RMxAA..21..381G"/>
    <hyperlink ref="AP748" r:id="rId7" display="http://cdsbib.u-strasbg.fr/cgi-bin/cdsbib?1990RMxAA..21..381G"/>
    <hyperlink ref="I64620" r:id="rId8" display="http://vsolj.cetus-net.org/bulletin.html"/>
    <hyperlink ref="AQ904" r:id="rId9" display="http://cdsbib.u-strasbg.fr/cgi-bin/cdsbib?1990RMxAA..21..381G"/>
    <hyperlink ref="AQ55670" r:id="rId10" display="http://cdsbib.u-strasbg.fr/cgi-bin/cdsbib?1990RMxAA..21..381G"/>
    <hyperlink ref="AQ905" r:id="rId11" display="http://cdsbib.u-strasbg.fr/cgi-bin/cdsbib?1990RMxAA..21..381G"/>
    <hyperlink ref="H64617" r:id="rId12" display="https://www.aavso.org/ejaavso"/>
    <hyperlink ref="H1790" r:id="rId13" display="http://vsolj.cetus-net.org/bulletin.html"/>
    <hyperlink ref="AP3034" r:id="rId14" display="http://cdsbib.u-strasbg.fr/cgi-bin/cdsbib?1990RMxAA..21..381G"/>
    <hyperlink ref="AP3037" r:id="rId15" display="http://cdsbib.u-strasbg.fr/cgi-bin/cdsbib?1990RMxAA..21..381G"/>
    <hyperlink ref="AP3035" r:id="rId16" display="http://cdsbib.u-strasbg.fr/cgi-bin/cdsbib?1990RMxAA..21..381G"/>
    <hyperlink ref="AP3019" r:id="rId17" display="http://cdsbib.u-strasbg.fr/cgi-bin/cdsbib?1990RMxAA..21..381G"/>
    <hyperlink ref="I1790" r:id="rId18" display="http://vsolj.cetus-net.org/bulletin.html"/>
    <hyperlink ref="AQ3248" r:id="rId19" display="http://cdsbib.u-strasbg.fr/cgi-bin/cdsbib?1990RMxAA..21..381G"/>
    <hyperlink ref="AQ65485" r:id="rId20" display="http://cdsbib.u-strasbg.fr/cgi-bin/cdsbib?1990RMxAA..21..381G"/>
    <hyperlink ref="AQ3252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topLeftCell="A4" workbookViewId="0">
      <selection activeCell="A20" sqref="A20:D51"/>
    </sheetView>
  </sheetViews>
  <sheetFormatPr defaultRowHeight="12.75" x14ac:dyDescent="0.2"/>
  <cols>
    <col min="1" max="1" width="19.7109375" style="19" customWidth="1"/>
    <col min="2" max="2" width="4.42578125" style="11" customWidth="1"/>
    <col min="3" max="3" width="12.7109375" style="1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6" t="s">
        <v>50</v>
      </c>
      <c r="I1" s="37" t="s">
        <v>51</v>
      </c>
      <c r="J1" s="38" t="s">
        <v>52</v>
      </c>
    </row>
    <row r="2" spans="1:16" x14ac:dyDescent="0.2">
      <c r="I2" s="39" t="s">
        <v>53</v>
      </c>
      <c r="J2" s="40" t="s">
        <v>54</v>
      </c>
    </row>
    <row r="3" spans="1:16" x14ac:dyDescent="0.2">
      <c r="A3" s="41" t="s">
        <v>55</v>
      </c>
      <c r="I3" s="39" t="s">
        <v>56</v>
      </c>
      <c r="J3" s="40" t="s">
        <v>57</v>
      </c>
    </row>
    <row r="4" spans="1:16" x14ac:dyDescent="0.2">
      <c r="I4" s="39" t="s">
        <v>58</v>
      </c>
      <c r="J4" s="40" t="s">
        <v>57</v>
      </c>
    </row>
    <row r="5" spans="1:16" ht="13.5" thickBot="1" x14ac:dyDescent="0.25">
      <c r="I5" s="42" t="s">
        <v>59</v>
      </c>
      <c r="J5" s="43" t="s">
        <v>60</v>
      </c>
    </row>
    <row r="10" spans="1:16" ht="13.5" thickBot="1" x14ac:dyDescent="0.25"/>
    <row r="11" spans="1:16" ht="12.75" customHeight="1" thickBot="1" x14ac:dyDescent="0.25">
      <c r="A11" s="19" t="str">
        <f t="shared" ref="A11:A51" si="0">P11</f>
        <v>IBVS 3615 </v>
      </c>
      <c r="B11" s="6" t="str">
        <f t="shared" ref="B11:B51" si="1">IF(H11=INT(H11),"I","II")</f>
        <v>I</v>
      </c>
      <c r="C11" s="19">
        <f t="shared" ref="C11:C51" si="2">1*G11</f>
        <v>48095.509899999997</v>
      </c>
      <c r="D11" s="11" t="str">
        <f t="shared" ref="D11:D51" si="3">VLOOKUP(F11,I$1:J$5,2,FALSE)</f>
        <v>vis</v>
      </c>
      <c r="E11" s="44">
        <f>VLOOKUP(C11,Active!C$21:E$970,3,FALSE)</f>
        <v>3947.529974594569</v>
      </c>
      <c r="F11" s="6" t="s">
        <v>59</v>
      </c>
      <c r="G11" s="11" t="str">
        <f t="shared" ref="G11:G51" si="4">MID(I11,3,LEN(I11)-3)</f>
        <v>48095.5099</v>
      </c>
      <c r="H11" s="19">
        <f t="shared" ref="H11:H51" si="5">1*K11</f>
        <v>3947</v>
      </c>
      <c r="I11" s="45" t="s">
        <v>139</v>
      </c>
      <c r="J11" s="46" t="s">
        <v>140</v>
      </c>
      <c r="K11" s="45">
        <v>3947</v>
      </c>
      <c r="L11" s="45" t="s">
        <v>141</v>
      </c>
      <c r="M11" s="46" t="s">
        <v>96</v>
      </c>
      <c r="N11" s="46" t="s">
        <v>97</v>
      </c>
      <c r="O11" s="47" t="s">
        <v>142</v>
      </c>
      <c r="P11" s="48" t="s">
        <v>143</v>
      </c>
    </row>
    <row r="12" spans="1:16" ht="12.75" customHeight="1" thickBot="1" x14ac:dyDescent="0.25">
      <c r="A12" s="19" t="str">
        <f t="shared" si="0"/>
        <v>BAVM 178 </v>
      </c>
      <c r="B12" s="6" t="str">
        <f t="shared" si="1"/>
        <v>II</v>
      </c>
      <c r="C12" s="19">
        <f t="shared" si="2"/>
        <v>53569.392599999999</v>
      </c>
      <c r="D12" s="11" t="str">
        <f t="shared" si="3"/>
        <v>vis</v>
      </c>
      <c r="E12" s="44">
        <f>VLOOKUP(C12,Active!C$21:E$970,3,FALSE)</f>
        <v>6745.0487685844382</v>
      </c>
      <c r="F12" s="6" t="s">
        <v>59</v>
      </c>
      <c r="G12" s="11" t="str">
        <f t="shared" si="4"/>
        <v>53569.3926</v>
      </c>
      <c r="H12" s="19">
        <f t="shared" si="5"/>
        <v>6744.5</v>
      </c>
      <c r="I12" s="45" t="s">
        <v>144</v>
      </c>
      <c r="J12" s="46" t="s">
        <v>145</v>
      </c>
      <c r="K12" s="45">
        <v>6744.5</v>
      </c>
      <c r="L12" s="45" t="s">
        <v>146</v>
      </c>
      <c r="M12" s="46" t="s">
        <v>147</v>
      </c>
      <c r="N12" s="46" t="s">
        <v>148</v>
      </c>
      <c r="O12" s="47" t="s">
        <v>149</v>
      </c>
      <c r="P12" s="48" t="s">
        <v>150</v>
      </c>
    </row>
    <row r="13" spans="1:16" ht="12.75" customHeight="1" thickBot="1" x14ac:dyDescent="0.25">
      <c r="A13" s="19" t="str">
        <f t="shared" si="0"/>
        <v>BAVM 178 </v>
      </c>
      <c r="B13" s="6" t="str">
        <f t="shared" si="1"/>
        <v>I</v>
      </c>
      <c r="C13" s="19">
        <f t="shared" si="2"/>
        <v>53611.464999999997</v>
      </c>
      <c r="D13" s="11" t="str">
        <f t="shared" si="3"/>
        <v>vis</v>
      </c>
      <c r="E13" s="44">
        <f>VLOOKUP(C13,Active!C$21:E$970,3,FALSE)</f>
        <v>6766.5505683413558</v>
      </c>
      <c r="F13" s="6" t="s">
        <v>59</v>
      </c>
      <c r="G13" s="11" t="str">
        <f t="shared" si="4"/>
        <v>53611.4650</v>
      </c>
      <c r="H13" s="19">
        <f t="shared" si="5"/>
        <v>6766</v>
      </c>
      <c r="I13" s="45" t="s">
        <v>151</v>
      </c>
      <c r="J13" s="46" t="s">
        <v>152</v>
      </c>
      <c r="K13" s="45" t="s">
        <v>153</v>
      </c>
      <c r="L13" s="45" t="s">
        <v>154</v>
      </c>
      <c r="M13" s="46" t="s">
        <v>147</v>
      </c>
      <c r="N13" s="46" t="s">
        <v>148</v>
      </c>
      <c r="O13" s="47" t="s">
        <v>155</v>
      </c>
      <c r="P13" s="48" t="s">
        <v>150</v>
      </c>
    </row>
    <row r="14" spans="1:16" ht="12.75" customHeight="1" thickBot="1" x14ac:dyDescent="0.25">
      <c r="A14" s="19" t="str">
        <f t="shared" si="0"/>
        <v>BAVM 178 </v>
      </c>
      <c r="B14" s="6" t="str">
        <f t="shared" si="1"/>
        <v>II</v>
      </c>
      <c r="C14" s="19">
        <f t="shared" si="2"/>
        <v>53612.458200000001</v>
      </c>
      <c r="D14" s="11" t="str">
        <f t="shared" si="3"/>
        <v>vis</v>
      </c>
      <c r="E14" s="44">
        <f>VLOOKUP(C14,Active!C$21:E$970,3,FALSE)</f>
        <v>6767.0581597199953</v>
      </c>
      <c r="F14" s="6" t="s">
        <v>59</v>
      </c>
      <c r="G14" s="11" t="str">
        <f t="shared" si="4"/>
        <v>53612.4582</v>
      </c>
      <c r="H14" s="19">
        <f t="shared" si="5"/>
        <v>6766.5</v>
      </c>
      <c r="I14" s="45" t="s">
        <v>156</v>
      </c>
      <c r="J14" s="46" t="s">
        <v>157</v>
      </c>
      <c r="K14" s="45" t="s">
        <v>158</v>
      </c>
      <c r="L14" s="45" t="s">
        <v>159</v>
      </c>
      <c r="M14" s="46" t="s">
        <v>147</v>
      </c>
      <c r="N14" s="46" t="s">
        <v>148</v>
      </c>
      <c r="O14" s="47" t="s">
        <v>155</v>
      </c>
      <c r="P14" s="48" t="s">
        <v>150</v>
      </c>
    </row>
    <row r="15" spans="1:16" ht="12.75" customHeight="1" thickBot="1" x14ac:dyDescent="0.25">
      <c r="A15" s="19" t="str">
        <f t="shared" si="0"/>
        <v>BAVM 178 </v>
      </c>
      <c r="B15" s="6" t="str">
        <f t="shared" si="1"/>
        <v>II</v>
      </c>
      <c r="C15" s="19">
        <f t="shared" si="2"/>
        <v>53659.411800000002</v>
      </c>
      <c r="D15" s="11" t="str">
        <f t="shared" si="3"/>
        <v>vis</v>
      </c>
      <c r="E15" s="44">
        <f>VLOOKUP(C15,Active!C$21:E$970,3,FALSE)</f>
        <v>6791.0545779197282</v>
      </c>
      <c r="F15" s="6" t="s">
        <v>59</v>
      </c>
      <c r="G15" s="11" t="str">
        <f t="shared" si="4"/>
        <v>53659.4118</v>
      </c>
      <c r="H15" s="19">
        <f t="shared" si="5"/>
        <v>6790.5</v>
      </c>
      <c r="I15" s="45" t="s">
        <v>160</v>
      </c>
      <c r="J15" s="46" t="s">
        <v>161</v>
      </c>
      <c r="K15" s="45" t="s">
        <v>162</v>
      </c>
      <c r="L15" s="45" t="s">
        <v>163</v>
      </c>
      <c r="M15" s="46" t="s">
        <v>147</v>
      </c>
      <c r="N15" s="46" t="s">
        <v>148</v>
      </c>
      <c r="O15" s="47" t="s">
        <v>149</v>
      </c>
      <c r="P15" s="48" t="s">
        <v>150</v>
      </c>
    </row>
    <row r="16" spans="1:16" ht="12.75" customHeight="1" thickBot="1" x14ac:dyDescent="0.25">
      <c r="A16" s="19" t="str">
        <f t="shared" si="0"/>
        <v>BAVM 178 </v>
      </c>
      <c r="B16" s="6" t="str">
        <f t="shared" si="1"/>
        <v>II</v>
      </c>
      <c r="C16" s="19">
        <f t="shared" si="2"/>
        <v>53661.375899999999</v>
      </c>
      <c r="D16" s="11" t="str">
        <f t="shared" si="3"/>
        <v>vis</v>
      </c>
      <c r="E16" s="44">
        <f>VLOOKUP(C16,Active!C$21:E$970,3,FALSE)</f>
        <v>6792.058363891113</v>
      </c>
      <c r="F16" s="6" t="s">
        <v>59</v>
      </c>
      <c r="G16" s="11" t="str">
        <f t="shared" si="4"/>
        <v>53661.3759</v>
      </c>
      <c r="H16" s="19">
        <f t="shared" si="5"/>
        <v>6791.5</v>
      </c>
      <c r="I16" s="45" t="s">
        <v>164</v>
      </c>
      <c r="J16" s="46" t="s">
        <v>165</v>
      </c>
      <c r="K16" s="45" t="s">
        <v>166</v>
      </c>
      <c r="L16" s="45" t="s">
        <v>167</v>
      </c>
      <c r="M16" s="46" t="s">
        <v>147</v>
      </c>
      <c r="N16" s="46" t="s">
        <v>148</v>
      </c>
      <c r="O16" s="47" t="s">
        <v>149</v>
      </c>
      <c r="P16" s="48" t="s">
        <v>150</v>
      </c>
    </row>
    <row r="17" spans="1:16" ht="12.75" customHeight="1" thickBot="1" x14ac:dyDescent="0.25">
      <c r="A17" s="19" t="str">
        <f t="shared" si="0"/>
        <v>BAVM 178 </v>
      </c>
      <c r="B17" s="6" t="str">
        <f t="shared" si="1"/>
        <v>II</v>
      </c>
      <c r="C17" s="19">
        <f t="shared" si="2"/>
        <v>53661.3773</v>
      </c>
      <c r="D17" s="11" t="str">
        <f t="shared" si="3"/>
        <v>vis</v>
      </c>
      <c r="E17" s="44">
        <f>VLOOKUP(C17,Active!C$21:E$970,3,FALSE)</f>
        <v>6792.0590793843985</v>
      </c>
      <c r="F17" s="6" t="s">
        <v>59</v>
      </c>
      <c r="G17" s="11" t="str">
        <f t="shared" si="4"/>
        <v>53661.3773</v>
      </c>
      <c r="H17" s="19">
        <f t="shared" si="5"/>
        <v>6791.5</v>
      </c>
      <c r="I17" s="45" t="s">
        <v>168</v>
      </c>
      <c r="J17" s="46" t="s">
        <v>169</v>
      </c>
      <c r="K17" s="45" t="s">
        <v>166</v>
      </c>
      <c r="L17" s="45" t="s">
        <v>170</v>
      </c>
      <c r="M17" s="46" t="s">
        <v>147</v>
      </c>
      <c r="N17" s="46" t="s">
        <v>171</v>
      </c>
      <c r="O17" s="47" t="s">
        <v>172</v>
      </c>
      <c r="P17" s="48" t="s">
        <v>150</v>
      </c>
    </row>
    <row r="18" spans="1:16" ht="12.75" customHeight="1" thickBot="1" x14ac:dyDescent="0.25">
      <c r="A18" s="19" t="str">
        <f t="shared" si="0"/>
        <v>BAVM 183 </v>
      </c>
      <c r="B18" s="6" t="str">
        <f t="shared" si="1"/>
        <v>I</v>
      </c>
      <c r="C18" s="19">
        <f t="shared" si="2"/>
        <v>54024.353799999997</v>
      </c>
      <c r="D18" s="11" t="str">
        <f t="shared" si="3"/>
        <v>vis</v>
      </c>
      <c r="E18" s="44">
        <f>VLOOKUP(C18,Active!C$21:E$970,3,FALSE)</f>
        <v>6977.5642566375855</v>
      </c>
      <c r="F18" s="6" t="s">
        <v>59</v>
      </c>
      <c r="G18" s="11" t="str">
        <f t="shared" si="4"/>
        <v>54024.3538</v>
      </c>
      <c r="H18" s="19">
        <f t="shared" si="5"/>
        <v>6977</v>
      </c>
      <c r="I18" s="45" t="s">
        <v>173</v>
      </c>
      <c r="J18" s="46" t="s">
        <v>174</v>
      </c>
      <c r="K18" s="45" t="s">
        <v>175</v>
      </c>
      <c r="L18" s="45" t="s">
        <v>176</v>
      </c>
      <c r="M18" s="46" t="s">
        <v>147</v>
      </c>
      <c r="N18" s="46" t="s">
        <v>148</v>
      </c>
      <c r="O18" s="47" t="s">
        <v>155</v>
      </c>
      <c r="P18" s="48" t="s">
        <v>177</v>
      </c>
    </row>
    <row r="19" spans="1:16" ht="12.75" customHeight="1" thickBot="1" x14ac:dyDescent="0.25">
      <c r="A19" s="19" t="str">
        <f t="shared" si="0"/>
        <v>BAVM 238 </v>
      </c>
      <c r="B19" s="6" t="str">
        <f t="shared" si="1"/>
        <v>I</v>
      </c>
      <c r="C19" s="19">
        <f t="shared" si="2"/>
        <v>56871.474199999997</v>
      </c>
      <c r="D19" s="11" t="str">
        <f t="shared" si="3"/>
        <v>vis</v>
      </c>
      <c r="E19" s="44">
        <f>VLOOKUP(C19,Active!C$21:E$970,3,FALSE)</f>
        <v>8432.6324896035476</v>
      </c>
      <c r="F19" s="6" t="s">
        <v>59</v>
      </c>
      <c r="G19" s="11" t="str">
        <f t="shared" si="4"/>
        <v>56871.4742</v>
      </c>
      <c r="H19" s="19">
        <f t="shared" si="5"/>
        <v>8432</v>
      </c>
      <c r="I19" s="45" t="s">
        <v>208</v>
      </c>
      <c r="J19" s="46" t="s">
        <v>209</v>
      </c>
      <c r="K19" s="45">
        <v>8432</v>
      </c>
      <c r="L19" s="45" t="s">
        <v>210</v>
      </c>
      <c r="M19" s="46" t="s">
        <v>147</v>
      </c>
      <c r="N19" s="46">
        <v>0</v>
      </c>
      <c r="O19" s="47" t="s">
        <v>149</v>
      </c>
      <c r="P19" s="48" t="s">
        <v>211</v>
      </c>
    </row>
    <row r="20" spans="1:16" ht="12.75" customHeight="1" thickBot="1" x14ac:dyDescent="0.25">
      <c r="A20" s="19" t="str">
        <f t="shared" si="0"/>
        <v>IBVS 518 </v>
      </c>
      <c r="B20" s="6" t="str">
        <f t="shared" si="1"/>
        <v>I</v>
      </c>
      <c r="C20" s="19">
        <f t="shared" si="2"/>
        <v>32775.464999999997</v>
      </c>
      <c r="D20" s="11" t="str">
        <f t="shared" si="3"/>
        <v>vis</v>
      </c>
      <c r="E20" s="44">
        <f>VLOOKUP(C20,Active!C$21:E$970,3,FALSE)</f>
        <v>-3882.0337704448784</v>
      </c>
      <c r="F20" s="6" t="s">
        <v>59</v>
      </c>
      <c r="G20" s="11" t="str">
        <f t="shared" si="4"/>
        <v>32775.465</v>
      </c>
      <c r="H20" s="19">
        <f t="shared" si="5"/>
        <v>-3882</v>
      </c>
      <c r="I20" s="45" t="s">
        <v>61</v>
      </c>
      <c r="J20" s="46" t="s">
        <v>62</v>
      </c>
      <c r="K20" s="45">
        <v>-3882</v>
      </c>
      <c r="L20" s="45" t="s">
        <v>63</v>
      </c>
      <c r="M20" s="46" t="s">
        <v>64</v>
      </c>
      <c r="N20" s="46"/>
      <c r="O20" s="47" t="s">
        <v>65</v>
      </c>
      <c r="P20" s="48" t="s">
        <v>66</v>
      </c>
    </row>
    <row r="21" spans="1:16" ht="12.75" customHeight="1" thickBot="1" x14ac:dyDescent="0.25">
      <c r="A21" s="19" t="str">
        <f t="shared" si="0"/>
        <v>IBVS 518 </v>
      </c>
      <c r="B21" s="6" t="str">
        <f t="shared" si="1"/>
        <v>II</v>
      </c>
      <c r="C21" s="19">
        <f t="shared" si="2"/>
        <v>33506.322</v>
      </c>
      <c r="D21" s="11" t="str">
        <f t="shared" si="3"/>
        <v>vis</v>
      </c>
      <c r="E21" s="44">
        <f>VLOOKUP(C21,Active!C$21:E$970,3,FALSE)</f>
        <v>-3508.5171451764809</v>
      </c>
      <c r="F21" s="6" t="s">
        <v>59</v>
      </c>
      <c r="G21" s="11" t="str">
        <f t="shared" si="4"/>
        <v>33506.322</v>
      </c>
      <c r="H21" s="19">
        <f t="shared" si="5"/>
        <v>-3508.5</v>
      </c>
      <c r="I21" s="45" t="s">
        <v>67</v>
      </c>
      <c r="J21" s="46" t="s">
        <v>68</v>
      </c>
      <c r="K21" s="45">
        <v>-3508.5</v>
      </c>
      <c r="L21" s="45" t="s">
        <v>69</v>
      </c>
      <c r="M21" s="46" t="s">
        <v>64</v>
      </c>
      <c r="N21" s="46"/>
      <c r="O21" s="47" t="s">
        <v>65</v>
      </c>
      <c r="P21" s="48" t="s">
        <v>66</v>
      </c>
    </row>
    <row r="22" spans="1:16" ht="12.75" customHeight="1" thickBot="1" x14ac:dyDescent="0.25">
      <c r="A22" s="19" t="str">
        <f t="shared" si="0"/>
        <v>IBVS 518 </v>
      </c>
      <c r="B22" s="6" t="str">
        <f t="shared" si="1"/>
        <v>I</v>
      </c>
      <c r="C22" s="19">
        <f t="shared" si="2"/>
        <v>34133.478999999999</v>
      </c>
      <c r="D22" s="11" t="str">
        <f t="shared" si="3"/>
        <v>vis</v>
      </c>
      <c r="E22" s="44">
        <f>VLOOKUP(C22,Active!C$21:E$970,3,FALSE)</f>
        <v>-3187.9981296187852</v>
      </c>
      <c r="F22" s="6" t="s">
        <v>59</v>
      </c>
      <c r="G22" s="11" t="str">
        <f t="shared" si="4"/>
        <v>34133.479</v>
      </c>
      <c r="H22" s="19">
        <f t="shared" si="5"/>
        <v>-3188</v>
      </c>
      <c r="I22" s="45" t="s">
        <v>70</v>
      </c>
      <c r="J22" s="46" t="s">
        <v>71</v>
      </c>
      <c r="K22" s="45">
        <v>-3188</v>
      </c>
      <c r="L22" s="45" t="s">
        <v>72</v>
      </c>
      <c r="M22" s="46" t="s">
        <v>64</v>
      </c>
      <c r="N22" s="46"/>
      <c r="O22" s="47" t="s">
        <v>65</v>
      </c>
      <c r="P22" s="48" t="s">
        <v>66</v>
      </c>
    </row>
    <row r="23" spans="1:16" ht="12.75" customHeight="1" thickBot="1" x14ac:dyDescent="0.25">
      <c r="A23" s="19" t="str">
        <f t="shared" si="0"/>
        <v>IBVS 518 </v>
      </c>
      <c r="B23" s="6" t="str">
        <f t="shared" si="1"/>
        <v>II</v>
      </c>
      <c r="C23" s="19">
        <f t="shared" si="2"/>
        <v>34134.474000000002</v>
      </c>
      <c r="D23" s="11" t="str">
        <f t="shared" si="3"/>
        <v>vis</v>
      </c>
      <c r="E23" s="44">
        <f>VLOOKUP(C23,Active!C$21:E$970,3,FALSE)</f>
        <v>-3187.4896183202095</v>
      </c>
      <c r="F23" s="6" t="s">
        <v>59</v>
      </c>
      <c r="G23" s="11" t="str">
        <f t="shared" si="4"/>
        <v>34134.474</v>
      </c>
      <c r="H23" s="19">
        <f t="shared" si="5"/>
        <v>-3187.5</v>
      </c>
      <c r="I23" s="45" t="s">
        <v>73</v>
      </c>
      <c r="J23" s="46" t="s">
        <v>74</v>
      </c>
      <c r="K23" s="45">
        <v>-3187.5</v>
      </c>
      <c r="L23" s="45" t="s">
        <v>75</v>
      </c>
      <c r="M23" s="46" t="s">
        <v>64</v>
      </c>
      <c r="N23" s="46"/>
      <c r="O23" s="47" t="s">
        <v>65</v>
      </c>
      <c r="P23" s="48" t="s">
        <v>66</v>
      </c>
    </row>
    <row r="24" spans="1:16" ht="12.75" customHeight="1" thickBot="1" x14ac:dyDescent="0.25">
      <c r="A24" s="19" t="str">
        <f t="shared" si="0"/>
        <v>IBVS 518 </v>
      </c>
      <c r="B24" s="6" t="str">
        <f t="shared" si="1"/>
        <v>I</v>
      </c>
      <c r="C24" s="19">
        <f t="shared" si="2"/>
        <v>34626.548000000003</v>
      </c>
      <c r="D24" s="11" t="str">
        <f t="shared" si="3"/>
        <v>vis</v>
      </c>
      <c r="E24" s="44">
        <f>VLOOKUP(C24,Active!C$21:E$970,3,FALSE)</f>
        <v>-2936.0070165768852</v>
      </c>
      <c r="F24" s="6" t="s">
        <v>59</v>
      </c>
      <c r="G24" s="11" t="str">
        <f t="shared" si="4"/>
        <v>34626.548</v>
      </c>
      <c r="H24" s="19">
        <f t="shared" si="5"/>
        <v>-2936</v>
      </c>
      <c r="I24" s="45" t="s">
        <v>76</v>
      </c>
      <c r="J24" s="46" t="s">
        <v>77</v>
      </c>
      <c r="K24" s="45">
        <v>-2936</v>
      </c>
      <c r="L24" s="45" t="s">
        <v>78</v>
      </c>
      <c r="M24" s="46" t="s">
        <v>64</v>
      </c>
      <c r="N24" s="46"/>
      <c r="O24" s="47" t="s">
        <v>65</v>
      </c>
      <c r="P24" s="48" t="s">
        <v>66</v>
      </c>
    </row>
    <row r="25" spans="1:16" ht="12.75" customHeight="1" thickBot="1" x14ac:dyDescent="0.25">
      <c r="A25" s="19" t="str">
        <f t="shared" si="0"/>
        <v>IBVS 518 </v>
      </c>
      <c r="B25" s="6" t="str">
        <f t="shared" si="1"/>
        <v>II</v>
      </c>
      <c r="C25" s="19">
        <f t="shared" si="2"/>
        <v>34627.595000000001</v>
      </c>
      <c r="D25" s="11" t="str">
        <f t="shared" si="3"/>
        <v>vis</v>
      </c>
      <c r="E25" s="44">
        <f>VLOOKUP(C25,Active!C$21:E$970,3,FALSE)</f>
        <v>-2935.4719298134614</v>
      </c>
      <c r="F25" s="6" t="s">
        <v>59</v>
      </c>
      <c r="G25" s="11" t="str">
        <f t="shared" si="4"/>
        <v>34627.595</v>
      </c>
      <c r="H25" s="19">
        <f t="shared" si="5"/>
        <v>-2935.5</v>
      </c>
      <c r="I25" s="45" t="s">
        <v>79</v>
      </c>
      <c r="J25" s="46" t="s">
        <v>80</v>
      </c>
      <c r="K25" s="45">
        <v>-2935.5</v>
      </c>
      <c r="L25" s="45" t="s">
        <v>81</v>
      </c>
      <c r="M25" s="46" t="s">
        <v>64</v>
      </c>
      <c r="N25" s="46"/>
      <c r="O25" s="47" t="s">
        <v>65</v>
      </c>
      <c r="P25" s="48" t="s">
        <v>66</v>
      </c>
    </row>
    <row r="26" spans="1:16" ht="12.75" customHeight="1" thickBot="1" x14ac:dyDescent="0.25">
      <c r="A26" s="19" t="str">
        <f t="shared" si="0"/>
        <v>IBVS 518 </v>
      </c>
      <c r="B26" s="6" t="str">
        <f t="shared" si="1"/>
        <v>I</v>
      </c>
      <c r="C26" s="19">
        <f t="shared" si="2"/>
        <v>34628.521999999997</v>
      </c>
      <c r="D26" s="11" t="str">
        <f t="shared" si="3"/>
        <v>vis</v>
      </c>
      <c r="E26" s="44">
        <f>VLOOKUP(C26,Active!C$21:E$970,3,FALSE)</f>
        <v>-2934.9981710458474</v>
      </c>
      <c r="F26" s="6" t="s">
        <v>59</v>
      </c>
      <c r="G26" s="11" t="str">
        <f t="shared" si="4"/>
        <v>34628.522</v>
      </c>
      <c r="H26" s="19">
        <f t="shared" si="5"/>
        <v>-2935</v>
      </c>
      <c r="I26" s="45" t="s">
        <v>82</v>
      </c>
      <c r="J26" s="46" t="s">
        <v>83</v>
      </c>
      <c r="K26" s="45">
        <v>-2935</v>
      </c>
      <c r="L26" s="45" t="s">
        <v>72</v>
      </c>
      <c r="M26" s="46" t="s">
        <v>64</v>
      </c>
      <c r="N26" s="46"/>
      <c r="O26" s="47" t="s">
        <v>65</v>
      </c>
      <c r="P26" s="48" t="s">
        <v>66</v>
      </c>
    </row>
    <row r="27" spans="1:16" ht="12.75" customHeight="1" thickBot="1" x14ac:dyDescent="0.25">
      <c r="A27" s="19" t="str">
        <f t="shared" si="0"/>
        <v>IBVS 518 </v>
      </c>
      <c r="B27" s="6" t="str">
        <f t="shared" si="1"/>
        <v>II</v>
      </c>
      <c r="C27" s="19">
        <f t="shared" si="2"/>
        <v>34629.563000000002</v>
      </c>
      <c r="D27" s="11" t="str">
        <f t="shared" si="3"/>
        <v>vis</v>
      </c>
      <c r="E27" s="44">
        <f>VLOOKUP(C27,Active!C$21:E$970,3,FALSE)</f>
        <v>-2934.4661506822108</v>
      </c>
      <c r="F27" s="6" t="s">
        <v>59</v>
      </c>
      <c r="G27" s="11" t="str">
        <f t="shared" si="4"/>
        <v>34629.563</v>
      </c>
      <c r="H27" s="19">
        <f t="shared" si="5"/>
        <v>-2934.5</v>
      </c>
      <c r="I27" s="45" t="s">
        <v>84</v>
      </c>
      <c r="J27" s="46" t="s">
        <v>85</v>
      </c>
      <c r="K27" s="45">
        <v>-2934.5</v>
      </c>
      <c r="L27" s="45" t="s">
        <v>86</v>
      </c>
      <c r="M27" s="46" t="s">
        <v>64</v>
      </c>
      <c r="N27" s="46"/>
      <c r="O27" s="47" t="s">
        <v>65</v>
      </c>
      <c r="P27" s="48" t="s">
        <v>66</v>
      </c>
    </row>
    <row r="28" spans="1:16" ht="12.75" customHeight="1" thickBot="1" x14ac:dyDescent="0.25">
      <c r="A28" s="19" t="str">
        <f t="shared" si="0"/>
        <v>IBVS 518 </v>
      </c>
      <c r="B28" s="6" t="str">
        <f t="shared" si="1"/>
        <v>I</v>
      </c>
      <c r="C28" s="19">
        <f t="shared" si="2"/>
        <v>35309.455999999998</v>
      </c>
      <c r="D28" s="11" t="str">
        <f t="shared" si="3"/>
        <v>vis</v>
      </c>
      <c r="E28" s="44">
        <f>VLOOKUP(C28,Active!C$21:E$970,3,FALSE)</f>
        <v>-2586.9955252334516</v>
      </c>
      <c r="F28" s="6" t="s">
        <v>59</v>
      </c>
      <c r="G28" s="11" t="str">
        <f t="shared" si="4"/>
        <v>35309.456</v>
      </c>
      <c r="H28" s="19">
        <f t="shared" si="5"/>
        <v>-2587</v>
      </c>
      <c r="I28" s="45" t="s">
        <v>87</v>
      </c>
      <c r="J28" s="46" t="s">
        <v>88</v>
      </c>
      <c r="K28" s="45">
        <v>-2587</v>
      </c>
      <c r="L28" s="45" t="s">
        <v>89</v>
      </c>
      <c r="M28" s="46" t="s">
        <v>64</v>
      </c>
      <c r="N28" s="46"/>
      <c r="O28" s="47" t="s">
        <v>65</v>
      </c>
      <c r="P28" s="48" t="s">
        <v>66</v>
      </c>
    </row>
    <row r="29" spans="1:16" ht="12.75" customHeight="1" thickBot="1" x14ac:dyDescent="0.25">
      <c r="A29" s="19" t="str">
        <f t="shared" si="0"/>
        <v>IBVS 518 </v>
      </c>
      <c r="B29" s="6" t="str">
        <f t="shared" si="1"/>
        <v>I</v>
      </c>
      <c r="C29" s="19">
        <f t="shared" si="2"/>
        <v>35360.31</v>
      </c>
      <c r="D29" s="11" t="str">
        <f t="shared" si="3"/>
        <v>vis</v>
      </c>
      <c r="E29" s="44">
        <f>VLOOKUP(C29,Active!C$21:E$970,3,FALSE)</f>
        <v>-2561.005742743308</v>
      </c>
      <c r="F29" s="6" t="s">
        <v>59</v>
      </c>
      <c r="G29" s="11" t="str">
        <f t="shared" si="4"/>
        <v>35360.310</v>
      </c>
      <c r="H29" s="19">
        <f t="shared" si="5"/>
        <v>-2561</v>
      </c>
      <c r="I29" s="45" t="s">
        <v>90</v>
      </c>
      <c r="J29" s="46" t="s">
        <v>91</v>
      </c>
      <c r="K29" s="45">
        <v>-2561</v>
      </c>
      <c r="L29" s="45" t="s">
        <v>92</v>
      </c>
      <c r="M29" s="46" t="s">
        <v>64</v>
      </c>
      <c r="N29" s="46"/>
      <c r="O29" s="47" t="s">
        <v>65</v>
      </c>
      <c r="P29" s="48" t="s">
        <v>66</v>
      </c>
    </row>
    <row r="30" spans="1:16" ht="12.75" customHeight="1" thickBot="1" x14ac:dyDescent="0.25">
      <c r="A30" s="19" t="str">
        <f t="shared" si="0"/>
        <v>IBVS 518 </v>
      </c>
      <c r="B30" s="6" t="str">
        <f t="shared" si="1"/>
        <v>II</v>
      </c>
      <c r="C30" s="19">
        <f t="shared" si="2"/>
        <v>40366.493000000002</v>
      </c>
      <c r="D30" s="11" t="str">
        <f t="shared" si="3"/>
        <v>vis</v>
      </c>
      <c r="E30" s="44">
        <f>VLOOKUP(C30,Active!C$21:E$970,3,FALSE)</f>
        <v>-2.5126590949143646</v>
      </c>
      <c r="F30" s="6" t="s">
        <v>59</v>
      </c>
      <c r="G30" s="11" t="str">
        <f t="shared" si="4"/>
        <v>40366.493</v>
      </c>
      <c r="H30" s="19">
        <f t="shared" si="5"/>
        <v>-2.5</v>
      </c>
      <c r="I30" s="45" t="s">
        <v>93</v>
      </c>
      <c r="J30" s="46" t="s">
        <v>94</v>
      </c>
      <c r="K30" s="45">
        <v>-2.5</v>
      </c>
      <c r="L30" s="45" t="s">
        <v>95</v>
      </c>
      <c r="M30" s="46" t="s">
        <v>96</v>
      </c>
      <c r="N30" s="46" t="s">
        <v>97</v>
      </c>
      <c r="O30" s="47" t="s">
        <v>98</v>
      </c>
      <c r="P30" s="48" t="s">
        <v>66</v>
      </c>
    </row>
    <row r="31" spans="1:16" ht="12.75" customHeight="1" thickBot="1" x14ac:dyDescent="0.25">
      <c r="A31" s="19" t="str">
        <f t="shared" si="0"/>
        <v>IBVS 518 </v>
      </c>
      <c r="B31" s="6" t="str">
        <f t="shared" si="1"/>
        <v>I</v>
      </c>
      <c r="C31" s="19">
        <f t="shared" si="2"/>
        <v>40369.434999999998</v>
      </c>
      <c r="D31" s="11" t="str">
        <f t="shared" si="3"/>
        <v>vis</v>
      </c>
      <c r="E31" s="44">
        <f>VLOOKUP(C31,Active!C$21:E$970,3,FALSE)</f>
        <v>-1.0091010643585596</v>
      </c>
      <c r="F31" s="6" t="s">
        <v>59</v>
      </c>
      <c r="G31" s="11" t="str">
        <f t="shared" si="4"/>
        <v>40369.435</v>
      </c>
      <c r="H31" s="19">
        <f t="shared" si="5"/>
        <v>-1</v>
      </c>
      <c r="I31" s="45" t="s">
        <v>99</v>
      </c>
      <c r="J31" s="46" t="s">
        <v>100</v>
      </c>
      <c r="K31" s="45">
        <v>-1</v>
      </c>
      <c r="L31" s="45" t="s">
        <v>101</v>
      </c>
      <c r="M31" s="46" t="s">
        <v>96</v>
      </c>
      <c r="N31" s="46" t="s">
        <v>97</v>
      </c>
      <c r="O31" s="47" t="s">
        <v>98</v>
      </c>
      <c r="P31" s="48" t="s">
        <v>66</v>
      </c>
    </row>
    <row r="32" spans="1:16" ht="12.75" customHeight="1" thickBot="1" x14ac:dyDescent="0.25">
      <c r="A32" s="19" t="str">
        <f t="shared" si="0"/>
        <v>IBVS 518 </v>
      </c>
      <c r="B32" s="6" t="str">
        <f t="shared" si="1"/>
        <v>II</v>
      </c>
      <c r="C32" s="19">
        <f t="shared" si="2"/>
        <v>40370.415000000001</v>
      </c>
      <c r="D32" s="11" t="str">
        <f t="shared" si="3"/>
        <v>vis</v>
      </c>
      <c r="E32" s="44">
        <f>VLOOKUP(C32,Active!C$21:E$970,3,FALSE)</f>
        <v>-0.50825576525870353</v>
      </c>
      <c r="F32" s="6" t="s">
        <v>59</v>
      </c>
      <c r="G32" s="11" t="str">
        <f t="shared" si="4"/>
        <v>40370.415</v>
      </c>
      <c r="H32" s="19">
        <f t="shared" si="5"/>
        <v>-0.5</v>
      </c>
      <c r="I32" s="45" t="s">
        <v>102</v>
      </c>
      <c r="J32" s="46" t="s">
        <v>103</v>
      </c>
      <c r="K32" s="45">
        <v>-0.5</v>
      </c>
      <c r="L32" s="45" t="s">
        <v>104</v>
      </c>
      <c r="M32" s="46" t="s">
        <v>96</v>
      </c>
      <c r="N32" s="46" t="s">
        <v>97</v>
      </c>
      <c r="O32" s="47" t="s">
        <v>98</v>
      </c>
      <c r="P32" s="48" t="s">
        <v>66</v>
      </c>
    </row>
    <row r="33" spans="1:16" ht="12.75" customHeight="1" thickBot="1" x14ac:dyDescent="0.25">
      <c r="A33" s="19" t="str">
        <f t="shared" si="0"/>
        <v>IBVS 518 </v>
      </c>
      <c r="B33" s="6" t="str">
        <f t="shared" si="1"/>
        <v>I</v>
      </c>
      <c r="C33" s="19">
        <f t="shared" si="2"/>
        <v>40371.400999999998</v>
      </c>
      <c r="D33" s="11" t="str">
        <f t="shared" si="3"/>
        <v>vis</v>
      </c>
      <c r="E33" s="44">
        <f>VLOOKUP(C33,Active!C$21:E$970,3,FALSE)</f>
        <v>-4.344066371544086E-3</v>
      </c>
      <c r="F33" s="6" t="s">
        <v>59</v>
      </c>
      <c r="G33" s="11" t="str">
        <f t="shared" si="4"/>
        <v>40371.401</v>
      </c>
      <c r="H33" s="19">
        <f t="shared" si="5"/>
        <v>0</v>
      </c>
      <c r="I33" s="45" t="s">
        <v>105</v>
      </c>
      <c r="J33" s="46" t="s">
        <v>106</v>
      </c>
      <c r="K33" s="45">
        <v>0</v>
      </c>
      <c r="L33" s="45" t="s">
        <v>107</v>
      </c>
      <c r="M33" s="46" t="s">
        <v>96</v>
      </c>
      <c r="N33" s="46" t="s">
        <v>97</v>
      </c>
      <c r="O33" s="47" t="s">
        <v>98</v>
      </c>
      <c r="P33" s="48" t="s">
        <v>66</v>
      </c>
    </row>
    <row r="34" spans="1:16" ht="12.75" customHeight="1" thickBot="1" x14ac:dyDescent="0.25">
      <c r="A34" s="19" t="str">
        <f t="shared" si="0"/>
        <v>IBVS 518 </v>
      </c>
      <c r="B34" s="6" t="str">
        <f t="shared" si="1"/>
        <v>II</v>
      </c>
      <c r="C34" s="19">
        <f t="shared" si="2"/>
        <v>40372.358999999997</v>
      </c>
      <c r="D34" s="11" t="str">
        <f t="shared" si="3"/>
        <v>vis</v>
      </c>
      <c r="E34" s="44">
        <f>VLOOKUP(C34,Active!C$21:E$970,3,FALSE)</f>
        <v>0.48525776682789801</v>
      </c>
      <c r="F34" s="6" t="s">
        <v>59</v>
      </c>
      <c r="G34" s="11" t="str">
        <f t="shared" si="4"/>
        <v>40372.359</v>
      </c>
      <c r="H34" s="19">
        <f t="shared" si="5"/>
        <v>0.5</v>
      </c>
      <c r="I34" s="45" t="s">
        <v>108</v>
      </c>
      <c r="J34" s="46" t="s">
        <v>109</v>
      </c>
      <c r="K34" s="45">
        <v>0.5</v>
      </c>
      <c r="L34" s="45" t="s">
        <v>110</v>
      </c>
      <c r="M34" s="46" t="s">
        <v>96</v>
      </c>
      <c r="N34" s="46" t="s">
        <v>97</v>
      </c>
      <c r="O34" s="47" t="s">
        <v>98</v>
      </c>
      <c r="P34" s="48" t="s">
        <v>66</v>
      </c>
    </row>
    <row r="35" spans="1:16" ht="12.75" customHeight="1" thickBot="1" x14ac:dyDescent="0.25">
      <c r="A35" s="19" t="str">
        <f t="shared" si="0"/>
        <v>IBVS 518 </v>
      </c>
      <c r="B35" s="6" t="str">
        <f t="shared" si="1"/>
        <v>I</v>
      </c>
      <c r="C35" s="19">
        <f t="shared" si="2"/>
        <v>40373.358</v>
      </c>
      <c r="D35" s="11" t="str">
        <f t="shared" si="3"/>
        <v>vis</v>
      </c>
      <c r="E35" s="44">
        <f>VLOOKUP(C35,Active!C$21:E$970,3,FALSE)</f>
        <v>0.99581333193079768</v>
      </c>
      <c r="F35" s="6" t="s">
        <v>59</v>
      </c>
      <c r="G35" s="11" t="str">
        <f t="shared" si="4"/>
        <v>40373.358</v>
      </c>
      <c r="H35" s="19">
        <f t="shared" si="5"/>
        <v>1</v>
      </c>
      <c r="I35" s="45" t="s">
        <v>111</v>
      </c>
      <c r="J35" s="46" t="s">
        <v>112</v>
      </c>
      <c r="K35" s="45">
        <v>1</v>
      </c>
      <c r="L35" s="45" t="s">
        <v>107</v>
      </c>
      <c r="M35" s="46" t="s">
        <v>96</v>
      </c>
      <c r="N35" s="46" t="s">
        <v>97</v>
      </c>
      <c r="O35" s="47" t="s">
        <v>98</v>
      </c>
      <c r="P35" s="48" t="s">
        <v>66</v>
      </c>
    </row>
    <row r="36" spans="1:16" ht="12.75" customHeight="1" thickBot="1" x14ac:dyDescent="0.25">
      <c r="A36" s="19" t="str">
        <f t="shared" si="0"/>
        <v>IBVS 518 </v>
      </c>
      <c r="B36" s="6" t="str">
        <f t="shared" si="1"/>
        <v>I</v>
      </c>
      <c r="C36" s="19">
        <f t="shared" si="2"/>
        <v>40467.262999999999</v>
      </c>
      <c r="D36" s="11" t="str">
        <f t="shared" si="3"/>
        <v>vis</v>
      </c>
      <c r="E36" s="44">
        <f>VLOOKUP(C36,Active!C$21:E$970,3,FALSE)</f>
        <v>48.987525384806055</v>
      </c>
      <c r="F36" s="6" t="s">
        <v>59</v>
      </c>
      <c r="G36" s="11" t="str">
        <f t="shared" si="4"/>
        <v>40467.263</v>
      </c>
      <c r="H36" s="19">
        <f t="shared" si="5"/>
        <v>49</v>
      </c>
      <c r="I36" s="45" t="s">
        <v>113</v>
      </c>
      <c r="J36" s="46" t="s">
        <v>114</v>
      </c>
      <c r="K36" s="45">
        <v>49</v>
      </c>
      <c r="L36" s="45" t="s">
        <v>115</v>
      </c>
      <c r="M36" s="46" t="s">
        <v>96</v>
      </c>
      <c r="N36" s="46" t="s">
        <v>97</v>
      </c>
      <c r="O36" s="47" t="s">
        <v>98</v>
      </c>
      <c r="P36" s="48" t="s">
        <v>66</v>
      </c>
    </row>
    <row r="37" spans="1:16" ht="12.75" customHeight="1" thickBot="1" x14ac:dyDescent="0.25">
      <c r="A37" s="19" t="str">
        <f t="shared" si="0"/>
        <v>IBVS 518 </v>
      </c>
      <c r="B37" s="6" t="str">
        <f t="shared" si="1"/>
        <v>I</v>
      </c>
      <c r="C37" s="19">
        <f t="shared" si="2"/>
        <v>40469.233999999997</v>
      </c>
      <c r="D37" s="11" t="str">
        <f t="shared" si="3"/>
        <v>vis</v>
      </c>
      <c r="E37" s="44">
        <f>VLOOKUP(C37,Active!C$21:E$970,3,FALSE)</f>
        <v>49.994837715950396</v>
      </c>
      <c r="F37" s="6" t="s">
        <v>59</v>
      </c>
      <c r="G37" s="11" t="str">
        <f t="shared" si="4"/>
        <v>40469.234</v>
      </c>
      <c r="H37" s="19">
        <f t="shared" si="5"/>
        <v>50</v>
      </c>
      <c r="I37" s="45" t="s">
        <v>116</v>
      </c>
      <c r="J37" s="46" t="s">
        <v>117</v>
      </c>
      <c r="K37" s="45">
        <v>50</v>
      </c>
      <c r="L37" s="45" t="s">
        <v>118</v>
      </c>
      <c r="M37" s="46" t="s">
        <v>96</v>
      </c>
      <c r="N37" s="46" t="s">
        <v>97</v>
      </c>
      <c r="O37" s="47" t="s">
        <v>98</v>
      </c>
      <c r="P37" s="48" t="s">
        <v>66</v>
      </c>
    </row>
    <row r="38" spans="1:16" ht="12.75" customHeight="1" thickBot="1" x14ac:dyDescent="0.25">
      <c r="A38" s="19" t="str">
        <f t="shared" si="0"/>
        <v>IBVS 518 </v>
      </c>
      <c r="B38" s="6" t="str">
        <f t="shared" si="1"/>
        <v>I</v>
      </c>
      <c r="C38" s="19">
        <f t="shared" si="2"/>
        <v>40811.68</v>
      </c>
      <c r="D38" s="11" t="str">
        <f t="shared" si="3"/>
        <v>vis</v>
      </c>
      <c r="E38" s="44">
        <f>VLOOKUP(C38,Active!C$21:E$970,3,FALSE)</f>
        <v>225.00756148634915</v>
      </c>
      <c r="F38" s="6" t="s">
        <v>59</v>
      </c>
      <c r="G38" s="11" t="str">
        <f t="shared" si="4"/>
        <v>40811.680</v>
      </c>
      <c r="H38" s="19">
        <f t="shared" si="5"/>
        <v>225</v>
      </c>
      <c r="I38" s="45" t="s">
        <v>119</v>
      </c>
      <c r="J38" s="46" t="s">
        <v>120</v>
      </c>
      <c r="K38" s="45">
        <v>225</v>
      </c>
      <c r="L38" s="45" t="s">
        <v>121</v>
      </c>
      <c r="M38" s="46" t="s">
        <v>96</v>
      </c>
      <c r="N38" s="46" t="s">
        <v>97</v>
      </c>
      <c r="O38" s="47" t="s">
        <v>98</v>
      </c>
      <c r="P38" s="48" t="s">
        <v>66</v>
      </c>
    </row>
    <row r="39" spans="1:16" ht="12.75" customHeight="1" thickBot="1" x14ac:dyDescent="0.25">
      <c r="A39" s="19" t="str">
        <f t="shared" si="0"/>
        <v>IBVS 518 </v>
      </c>
      <c r="B39" s="6" t="str">
        <f t="shared" si="1"/>
        <v>II</v>
      </c>
      <c r="C39" s="19">
        <f t="shared" si="2"/>
        <v>40812.658000000003</v>
      </c>
      <c r="D39" s="11" t="str">
        <f t="shared" si="3"/>
        <v>vis</v>
      </c>
      <c r="E39" s="44">
        <f>VLOOKUP(C39,Active!C$21:E$970,3,FALSE)</f>
        <v>225.50738465218532</v>
      </c>
      <c r="F39" s="6" t="s">
        <v>59</v>
      </c>
      <c r="G39" s="11" t="str">
        <f t="shared" si="4"/>
        <v>40812.658</v>
      </c>
      <c r="H39" s="19">
        <f t="shared" si="5"/>
        <v>225.5</v>
      </c>
      <c r="I39" s="45" t="s">
        <v>122</v>
      </c>
      <c r="J39" s="46" t="s">
        <v>123</v>
      </c>
      <c r="K39" s="45">
        <v>225.5</v>
      </c>
      <c r="L39" s="45" t="s">
        <v>124</v>
      </c>
      <c r="M39" s="46" t="s">
        <v>96</v>
      </c>
      <c r="N39" s="46" t="s">
        <v>97</v>
      </c>
      <c r="O39" s="47" t="s">
        <v>98</v>
      </c>
      <c r="P39" s="48" t="s">
        <v>66</v>
      </c>
    </row>
    <row r="40" spans="1:16" ht="12.75" customHeight="1" thickBot="1" x14ac:dyDescent="0.25">
      <c r="A40" s="19" t="str">
        <f t="shared" si="0"/>
        <v>IBVS 518 </v>
      </c>
      <c r="B40" s="6" t="str">
        <f t="shared" si="1"/>
        <v>II</v>
      </c>
      <c r="C40" s="19">
        <f t="shared" si="2"/>
        <v>40824.404999999999</v>
      </c>
      <c r="D40" s="11" t="str">
        <f t="shared" si="3"/>
        <v>vis</v>
      </c>
      <c r="E40" s="44">
        <f>VLOOKUP(C40,Active!C$21:E$970,3,FALSE)</f>
        <v>231.51088437514926</v>
      </c>
      <c r="F40" s="6" t="s">
        <v>59</v>
      </c>
      <c r="G40" s="11" t="str">
        <f t="shared" si="4"/>
        <v>40824.405</v>
      </c>
      <c r="H40" s="19">
        <f t="shared" si="5"/>
        <v>231.5</v>
      </c>
      <c r="I40" s="45" t="s">
        <v>125</v>
      </c>
      <c r="J40" s="46" t="s">
        <v>126</v>
      </c>
      <c r="K40" s="45">
        <v>231.5</v>
      </c>
      <c r="L40" s="45" t="s">
        <v>127</v>
      </c>
      <c r="M40" s="46" t="s">
        <v>96</v>
      </c>
      <c r="N40" s="46" t="s">
        <v>97</v>
      </c>
      <c r="O40" s="47" t="s">
        <v>98</v>
      </c>
      <c r="P40" s="48" t="s">
        <v>66</v>
      </c>
    </row>
    <row r="41" spans="1:16" ht="12.75" customHeight="1" thickBot="1" x14ac:dyDescent="0.25">
      <c r="A41" s="19" t="str">
        <f t="shared" si="0"/>
        <v>IBVS 518 </v>
      </c>
      <c r="B41" s="6" t="str">
        <f t="shared" si="1"/>
        <v>I</v>
      </c>
      <c r="C41" s="19">
        <f t="shared" si="2"/>
        <v>40825.379000000001</v>
      </c>
      <c r="D41" s="11" t="str">
        <f t="shared" si="3"/>
        <v>vis</v>
      </c>
      <c r="E41" s="44">
        <f>VLOOKUP(C41,Active!C$21:E$970,3,FALSE)</f>
        <v>232.00866327445812</v>
      </c>
      <c r="F41" s="6" t="s">
        <v>59</v>
      </c>
      <c r="G41" s="11" t="str">
        <f t="shared" si="4"/>
        <v>40825.379</v>
      </c>
      <c r="H41" s="19">
        <f t="shared" si="5"/>
        <v>232</v>
      </c>
      <c r="I41" s="45" t="s">
        <v>128</v>
      </c>
      <c r="J41" s="46" t="s">
        <v>129</v>
      </c>
      <c r="K41" s="45">
        <v>232</v>
      </c>
      <c r="L41" s="45" t="s">
        <v>130</v>
      </c>
      <c r="M41" s="46" t="s">
        <v>96</v>
      </c>
      <c r="N41" s="46" t="s">
        <v>97</v>
      </c>
      <c r="O41" s="47" t="s">
        <v>98</v>
      </c>
      <c r="P41" s="48" t="s">
        <v>66</v>
      </c>
    </row>
    <row r="42" spans="1:16" ht="12.75" customHeight="1" thickBot="1" x14ac:dyDescent="0.25">
      <c r="A42" s="19" t="str">
        <f t="shared" si="0"/>
        <v>IBVS 518 </v>
      </c>
      <c r="B42" s="6" t="str">
        <f t="shared" si="1"/>
        <v>I</v>
      </c>
      <c r="C42" s="19">
        <f t="shared" si="2"/>
        <v>40827.330999999998</v>
      </c>
      <c r="D42" s="11" t="str">
        <f t="shared" si="3"/>
        <v>vis</v>
      </c>
      <c r="E42" s="44">
        <f>VLOOKUP(C42,Active!C$21:E$970,3,FALSE)</f>
        <v>233.00626533959939</v>
      </c>
      <c r="F42" s="6" t="s">
        <v>59</v>
      </c>
      <c r="G42" s="11" t="str">
        <f t="shared" si="4"/>
        <v>40827.331</v>
      </c>
      <c r="H42" s="19">
        <f t="shared" si="5"/>
        <v>233</v>
      </c>
      <c r="I42" s="45" t="s">
        <v>131</v>
      </c>
      <c r="J42" s="46" t="s">
        <v>132</v>
      </c>
      <c r="K42" s="45">
        <v>233</v>
      </c>
      <c r="L42" s="45" t="s">
        <v>133</v>
      </c>
      <c r="M42" s="46" t="s">
        <v>96</v>
      </c>
      <c r="N42" s="46" t="s">
        <v>97</v>
      </c>
      <c r="O42" s="47" t="s">
        <v>98</v>
      </c>
      <c r="P42" s="48" t="s">
        <v>66</v>
      </c>
    </row>
    <row r="43" spans="1:16" ht="12.75" customHeight="1" thickBot="1" x14ac:dyDescent="0.25">
      <c r="A43" s="19" t="str">
        <f t="shared" si="0"/>
        <v>IBVS 518 </v>
      </c>
      <c r="B43" s="6" t="str">
        <f t="shared" si="1"/>
        <v>II</v>
      </c>
      <c r="C43" s="19">
        <f t="shared" si="2"/>
        <v>40828.307999999997</v>
      </c>
      <c r="D43" s="11" t="str">
        <f t="shared" si="3"/>
        <v>vis</v>
      </c>
      <c r="E43" s="44">
        <f>VLOOKUP(C43,Active!C$21:E$970,3,FALSE)</f>
        <v>233.50557743880188</v>
      </c>
      <c r="F43" s="6" t="s">
        <v>59</v>
      </c>
      <c r="G43" s="11" t="str">
        <f t="shared" si="4"/>
        <v>40828.308</v>
      </c>
      <c r="H43" s="19">
        <f t="shared" si="5"/>
        <v>233.5</v>
      </c>
      <c r="I43" s="45" t="s">
        <v>134</v>
      </c>
      <c r="J43" s="46" t="s">
        <v>135</v>
      </c>
      <c r="K43" s="45">
        <v>233.5</v>
      </c>
      <c r="L43" s="45" t="s">
        <v>136</v>
      </c>
      <c r="M43" s="46" t="s">
        <v>96</v>
      </c>
      <c r="N43" s="46" t="s">
        <v>97</v>
      </c>
      <c r="O43" s="47" t="s">
        <v>98</v>
      </c>
      <c r="P43" s="48" t="s">
        <v>66</v>
      </c>
    </row>
    <row r="44" spans="1:16" ht="12.75" customHeight="1" thickBot="1" x14ac:dyDescent="0.25">
      <c r="A44" s="19" t="str">
        <f t="shared" si="0"/>
        <v>IBVS 518 </v>
      </c>
      <c r="B44" s="6" t="str">
        <f t="shared" si="1"/>
        <v>II</v>
      </c>
      <c r="C44" s="19">
        <f t="shared" si="2"/>
        <v>40875.273000000001</v>
      </c>
      <c r="D44" s="11" t="str">
        <f t="shared" si="3"/>
        <v>vis</v>
      </c>
      <c r="E44" s="44">
        <f>VLOOKUP(C44,Active!C$21:E$970,3,FALSE)</f>
        <v>257.50782179813842</v>
      </c>
      <c r="F44" s="6" t="s">
        <v>59</v>
      </c>
      <c r="G44" s="11" t="str">
        <f t="shared" si="4"/>
        <v>40875.273</v>
      </c>
      <c r="H44" s="19">
        <f t="shared" si="5"/>
        <v>257.5</v>
      </c>
      <c r="I44" s="45" t="s">
        <v>137</v>
      </c>
      <c r="J44" s="46" t="s">
        <v>138</v>
      </c>
      <c r="K44" s="45">
        <v>257.5</v>
      </c>
      <c r="L44" s="45" t="s">
        <v>121</v>
      </c>
      <c r="M44" s="46" t="s">
        <v>96</v>
      </c>
      <c r="N44" s="46" t="s">
        <v>97</v>
      </c>
      <c r="O44" s="47" t="s">
        <v>98</v>
      </c>
      <c r="P44" s="48" t="s">
        <v>66</v>
      </c>
    </row>
    <row r="45" spans="1:16" ht="12.75" customHeight="1" thickBot="1" x14ac:dyDescent="0.25">
      <c r="A45" s="19" t="str">
        <f t="shared" si="0"/>
        <v>BAVM 203 </v>
      </c>
      <c r="B45" s="6" t="str">
        <f t="shared" si="1"/>
        <v>II</v>
      </c>
      <c r="C45" s="19">
        <f t="shared" si="2"/>
        <v>54649.543799999999</v>
      </c>
      <c r="D45" s="11" t="str">
        <f t="shared" si="3"/>
        <v>vis</v>
      </c>
      <c r="E45" s="44">
        <f>VLOOKUP(C45,Active!C$21:E$970,3,FALSE)</f>
        <v>7297.0780041306643</v>
      </c>
      <c r="F45" s="6" t="s">
        <v>59</v>
      </c>
      <c r="G45" s="11" t="str">
        <f t="shared" si="4"/>
        <v>54649.5438</v>
      </c>
      <c r="H45" s="19">
        <f t="shared" si="5"/>
        <v>7296.5</v>
      </c>
      <c r="I45" s="45" t="s">
        <v>178</v>
      </c>
      <c r="J45" s="46" t="s">
        <v>179</v>
      </c>
      <c r="K45" s="45" t="s">
        <v>180</v>
      </c>
      <c r="L45" s="45" t="s">
        <v>181</v>
      </c>
      <c r="M45" s="46" t="s">
        <v>147</v>
      </c>
      <c r="N45" s="46" t="s">
        <v>148</v>
      </c>
      <c r="O45" s="47" t="s">
        <v>155</v>
      </c>
      <c r="P45" s="48" t="s">
        <v>182</v>
      </c>
    </row>
    <row r="46" spans="1:16" ht="12.75" customHeight="1" thickBot="1" x14ac:dyDescent="0.25">
      <c r="A46" s="19" t="str">
        <f t="shared" si="0"/>
        <v>OEJV 0094 </v>
      </c>
      <c r="B46" s="6" t="str">
        <f t="shared" si="1"/>
        <v>II</v>
      </c>
      <c r="C46" s="19">
        <f t="shared" si="2"/>
        <v>54698.451500000003</v>
      </c>
      <c r="D46" s="11" t="str">
        <f t="shared" si="3"/>
        <v>vis</v>
      </c>
      <c r="E46" s="44" t="e">
        <f>VLOOKUP(C46,Active!C$21:E$970,3,FALSE)</f>
        <v>#N/A</v>
      </c>
      <c r="F46" s="6" t="s">
        <v>59</v>
      </c>
      <c r="G46" s="11" t="str">
        <f t="shared" si="4"/>
        <v>54698.4515</v>
      </c>
      <c r="H46" s="19">
        <f t="shared" si="5"/>
        <v>7321.5</v>
      </c>
      <c r="I46" s="45" t="s">
        <v>183</v>
      </c>
      <c r="J46" s="46" t="s">
        <v>184</v>
      </c>
      <c r="K46" s="45" t="s">
        <v>185</v>
      </c>
      <c r="L46" s="45" t="s">
        <v>186</v>
      </c>
      <c r="M46" s="46" t="s">
        <v>147</v>
      </c>
      <c r="N46" s="46" t="s">
        <v>187</v>
      </c>
      <c r="O46" s="47" t="s">
        <v>188</v>
      </c>
      <c r="P46" s="48" t="s">
        <v>189</v>
      </c>
    </row>
    <row r="47" spans="1:16" ht="12.75" customHeight="1" thickBot="1" x14ac:dyDescent="0.25">
      <c r="A47" s="19" t="str">
        <f t="shared" si="0"/>
        <v>OEJV 0094 </v>
      </c>
      <c r="B47" s="6" t="str">
        <f t="shared" si="1"/>
        <v>II</v>
      </c>
      <c r="C47" s="19">
        <f t="shared" si="2"/>
        <v>54698.451699999998</v>
      </c>
      <c r="D47" s="11" t="str">
        <f t="shared" si="3"/>
        <v>vis</v>
      </c>
      <c r="E47" s="44" t="e">
        <f>VLOOKUP(C47,Active!C$21:E$970,3,FALSE)</f>
        <v>#N/A</v>
      </c>
      <c r="F47" s="6" t="s">
        <v>59</v>
      </c>
      <c r="G47" s="11" t="str">
        <f t="shared" si="4"/>
        <v>54698.4517</v>
      </c>
      <c r="H47" s="19">
        <f t="shared" si="5"/>
        <v>7321.5</v>
      </c>
      <c r="I47" s="45" t="s">
        <v>190</v>
      </c>
      <c r="J47" s="46" t="s">
        <v>184</v>
      </c>
      <c r="K47" s="45" t="s">
        <v>185</v>
      </c>
      <c r="L47" s="45" t="s">
        <v>191</v>
      </c>
      <c r="M47" s="46" t="s">
        <v>147</v>
      </c>
      <c r="N47" s="46" t="s">
        <v>59</v>
      </c>
      <c r="O47" s="47" t="s">
        <v>188</v>
      </c>
      <c r="P47" s="48" t="s">
        <v>189</v>
      </c>
    </row>
    <row r="48" spans="1:16" ht="12.75" customHeight="1" thickBot="1" x14ac:dyDescent="0.25">
      <c r="A48" s="19" t="str">
        <f t="shared" si="0"/>
        <v>OEJV 0094 </v>
      </c>
      <c r="B48" s="6" t="str">
        <f t="shared" si="1"/>
        <v>II</v>
      </c>
      <c r="C48" s="19">
        <f t="shared" si="2"/>
        <v>54698.452499999999</v>
      </c>
      <c r="D48" s="11" t="str">
        <f t="shared" si="3"/>
        <v>vis</v>
      </c>
      <c r="E48" s="44" t="e">
        <f>VLOOKUP(C48,Active!C$21:E$970,3,FALSE)</f>
        <v>#N/A</v>
      </c>
      <c r="F48" s="6" t="s">
        <v>59</v>
      </c>
      <c r="G48" s="11" t="str">
        <f t="shared" si="4"/>
        <v>54698.4525</v>
      </c>
      <c r="H48" s="19">
        <f t="shared" si="5"/>
        <v>7321.5</v>
      </c>
      <c r="I48" s="45" t="s">
        <v>192</v>
      </c>
      <c r="J48" s="46" t="s">
        <v>193</v>
      </c>
      <c r="K48" s="45" t="s">
        <v>185</v>
      </c>
      <c r="L48" s="45" t="s">
        <v>194</v>
      </c>
      <c r="M48" s="46" t="s">
        <v>147</v>
      </c>
      <c r="N48" s="46" t="s">
        <v>48</v>
      </c>
      <c r="O48" s="47" t="s">
        <v>188</v>
      </c>
      <c r="P48" s="48" t="s">
        <v>189</v>
      </c>
    </row>
    <row r="49" spans="1:16" ht="12.75" customHeight="1" thickBot="1" x14ac:dyDescent="0.25">
      <c r="A49" s="19" t="str">
        <f t="shared" si="0"/>
        <v>BAVM 220 </v>
      </c>
      <c r="B49" s="6" t="str">
        <f t="shared" si="1"/>
        <v>II</v>
      </c>
      <c r="C49" s="19">
        <f t="shared" si="2"/>
        <v>55375.496200000001</v>
      </c>
      <c r="D49" s="11" t="str">
        <f t="shared" si="3"/>
        <v>vis</v>
      </c>
      <c r="E49" s="44">
        <f>VLOOKUP(C49,Active!C$21:E$970,3,FALSE)</f>
        <v>7668.0880519970642</v>
      </c>
      <c r="F49" s="6" t="s">
        <v>59</v>
      </c>
      <c r="G49" s="11" t="str">
        <f t="shared" si="4"/>
        <v>55375.4962</v>
      </c>
      <c r="H49" s="19">
        <f t="shared" si="5"/>
        <v>7667.5</v>
      </c>
      <c r="I49" s="45" t="s">
        <v>195</v>
      </c>
      <c r="J49" s="46" t="s">
        <v>196</v>
      </c>
      <c r="K49" s="45" t="s">
        <v>197</v>
      </c>
      <c r="L49" s="45" t="s">
        <v>198</v>
      </c>
      <c r="M49" s="46" t="s">
        <v>147</v>
      </c>
      <c r="N49" s="46">
        <v>0</v>
      </c>
      <c r="O49" s="47" t="s">
        <v>199</v>
      </c>
      <c r="P49" s="48" t="s">
        <v>200</v>
      </c>
    </row>
    <row r="50" spans="1:16" ht="12.75" customHeight="1" thickBot="1" x14ac:dyDescent="0.25">
      <c r="A50" s="19" t="str">
        <f t="shared" si="0"/>
        <v>BAVM 214 </v>
      </c>
      <c r="B50" s="6" t="str">
        <f t="shared" si="1"/>
        <v>II</v>
      </c>
      <c r="C50" s="19">
        <f t="shared" si="2"/>
        <v>55375.498299999999</v>
      </c>
      <c r="D50" s="11" t="str">
        <f t="shared" si="3"/>
        <v>vis</v>
      </c>
      <c r="E50" s="44">
        <f>VLOOKUP(C50,Active!C$21:E$970,3,FALSE)</f>
        <v>7668.0891252369893</v>
      </c>
      <c r="F50" s="6" t="s">
        <v>59</v>
      </c>
      <c r="G50" s="11" t="str">
        <f t="shared" si="4"/>
        <v>55375.4983</v>
      </c>
      <c r="H50" s="19">
        <f t="shared" si="5"/>
        <v>7667.5</v>
      </c>
      <c r="I50" s="45" t="s">
        <v>201</v>
      </c>
      <c r="J50" s="46" t="s">
        <v>202</v>
      </c>
      <c r="K50" s="45">
        <v>7667.5</v>
      </c>
      <c r="L50" s="45" t="s">
        <v>203</v>
      </c>
      <c r="M50" s="46" t="s">
        <v>147</v>
      </c>
      <c r="N50" s="46" t="s">
        <v>59</v>
      </c>
      <c r="O50" s="47" t="s">
        <v>149</v>
      </c>
      <c r="P50" s="48" t="s">
        <v>204</v>
      </c>
    </row>
    <row r="51" spans="1:16" ht="12.75" customHeight="1" thickBot="1" x14ac:dyDescent="0.25">
      <c r="A51" s="19" t="str">
        <f t="shared" si="0"/>
        <v>BAVM 220 </v>
      </c>
      <c r="B51" s="6" t="str">
        <f t="shared" si="1"/>
        <v>II</v>
      </c>
      <c r="C51" s="19">
        <f t="shared" si="2"/>
        <v>55690.542999999998</v>
      </c>
      <c r="D51" s="11" t="str">
        <f t="shared" si="3"/>
        <v>vis</v>
      </c>
      <c r="E51" s="44">
        <f>VLOOKUP(C51,Active!C$21:E$970,3,FALSE)</f>
        <v>7829.097958911284</v>
      </c>
      <c r="F51" s="6" t="s">
        <v>59</v>
      </c>
      <c r="G51" s="11" t="str">
        <f t="shared" si="4"/>
        <v>55690.5430</v>
      </c>
      <c r="H51" s="19">
        <f t="shared" si="5"/>
        <v>7828.5</v>
      </c>
      <c r="I51" s="45" t="s">
        <v>205</v>
      </c>
      <c r="J51" s="46" t="s">
        <v>206</v>
      </c>
      <c r="K51" s="45">
        <v>7828.5</v>
      </c>
      <c r="L51" s="45" t="s">
        <v>207</v>
      </c>
      <c r="M51" s="46" t="s">
        <v>147</v>
      </c>
      <c r="N51" s="46">
        <v>0</v>
      </c>
      <c r="O51" s="47" t="s">
        <v>149</v>
      </c>
      <c r="P51" s="48" t="s">
        <v>200</v>
      </c>
    </row>
    <row r="52" spans="1:16" x14ac:dyDescent="0.2">
      <c r="B52" s="6"/>
      <c r="F52" s="6"/>
    </row>
    <row r="53" spans="1:16" x14ac:dyDescent="0.2">
      <c r="B53" s="6"/>
      <c r="F53" s="6"/>
    </row>
    <row r="54" spans="1:16" x14ac:dyDescent="0.2">
      <c r="B54" s="6"/>
      <c r="F54" s="6"/>
    </row>
    <row r="55" spans="1:16" x14ac:dyDescent="0.2">
      <c r="B55" s="6"/>
      <c r="F55" s="6"/>
    </row>
    <row r="56" spans="1:16" x14ac:dyDescent="0.2">
      <c r="B56" s="6"/>
      <c r="F56" s="6"/>
    </row>
    <row r="57" spans="1:16" x14ac:dyDescent="0.2">
      <c r="B57" s="6"/>
      <c r="F57" s="6"/>
    </row>
    <row r="58" spans="1:16" x14ac:dyDescent="0.2">
      <c r="B58" s="6"/>
      <c r="F58" s="6"/>
    </row>
    <row r="59" spans="1:16" x14ac:dyDescent="0.2">
      <c r="B59" s="6"/>
      <c r="F59" s="6"/>
    </row>
    <row r="60" spans="1:16" x14ac:dyDescent="0.2">
      <c r="B60" s="6"/>
      <c r="F60" s="6"/>
    </row>
    <row r="61" spans="1:16" x14ac:dyDescent="0.2">
      <c r="B61" s="6"/>
      <c r="F61" s="6"/>
    </row>
    <row r="62" spans="1:16" x14ac:dyDescent="0.2">
      <c r="B62" s="6"/>
      <c r="F62" s="6"/>
    </row>
    <row r="63" spans="1:16" x14ac:dyDescent="0.2">
      <c r="B63" s="6"/>
      <c r="F63" s="6"/>
    </row>
    <row r="64" spans="1:1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</sheetData>
  <phoneticPr fontId="8" type="noConversion"/>
  <hyperlinks>
    <hyperlink ref="P20" r:id="rId1" display="http://www.konkoly.hu/cgi-bin/IBVS?518"/>
    <hyperlink ref="P21" r:id="rId2" display="http://www.konkoly.hu/cgi-bin/IBVS?518"/>
    <hyperlink ref="P22" r:id="rId3" display="http://www.konkoly.hu/cgi-bin/IBVS?518"/>
    <hyperlink ref="P23" r:id="rId4" display="http://www.konkoly.hu/cgi-bin/IBVS?518"/>
    <hyperlink ref="P24" r:id="rId5" display="http://www.konkoly.hu/cgi-bin/IBVS?518"/>
    <hyperlink ref="P25" r:id="rId6" display="http://www.konkoly.hu/cgi-bin/IBVS?518"/>
    <hyperlink ref="P26" r:id="rId7" display="http://www.konkoly.hu/cgi-bin/IBVS?518"/>
    <hyperlink ref="P27" r:id="rId8" display="http://www.konkoly.hu/cgi-bin/IBVS?518"/>
    <hyperlink ref="P28" r:id="rId9" display="http://www.konkoly.hu/cgi-bin/IBVS?518"/>
    <hyperlink ref="P29" r:id="rId10" display="http://www.konkoly.hu/cgi-bin/IBVS?518"/>
    <hyperlink ref="P30" r:id="rId11" display="http://www.konkoly.hu/cgi-bin/IBVS?518"/>
    <hyperlink ref="P31" r:id="rId12" display="http://www.konkoly.hu/cgi-bin/IBVS?518"/>
    <hyperlink ref="P32" r:id="rId13" display="http://www.konkoly.hu/cgi-bin/IBVS?518"/>
    <hyperlink ref="P33" r:id="rId14" display="http://www.konkoly.hu/cgi-bin/IBVS?518"/>
    <hyperlink ref="P34" r:id="rId15" display="http://www.konkoly.hu/cgi-bin/IBVS?518"/>
    <hyperlink ref="P35" r:id="rId16" display="http://www.konkoly.hu/cgi-bin/IBVS?518"/>
    <hyperlink ref="P36" r:id="rId17" display="http://www.konkoly.hu/cgi-bin/IBVS?518"/>
    <hyperlink ref="P37" r:id="rId18" display="http://www.konkoly.hu/cgi-bin/IBVS?518"/>
    <hyperlink ref="P38" r:id="rId19" display="http://www.konkoly.hu/cgi-bin/IBVS?518"/>
    <hyperlink ref="P39" r:id="rId20" display="http://www.konkoly.hu/cgi-bin/IBVS?518"/>
    <hyperlink ref="P40" r:id="rId21" display="http://www.konkoly.hu/cgi-bin/IBVS?518"/>
    <hyperlink ref="P41" r:id="rId22" display="http://www.konkoly.hu/cgi-bin/IBVS?518"/>
    <hyperlink ref="P42" r:id="rId23" display="http://www.konkoly.hu/cgi-bin/IBVS?518"/>
    <hyperlink ref="P43" r:id="rId24" display="http://www.konkoly.hu/cgi-bin/IBVS?518"/>
    <hyperlink ref="P44" r:id="rId25" display="http://www.konkoly.hu/cgi-bin/IBVS?518"/>
    <hyperlink ref="P11" r:id="rId26" display="http://www.konkoly.hu/cgi-bin/IBVS?3615"/>
    <hyperlink ref="P12" r:id="rId27" display="http://www.bav-astro.de/sfs/BAVM_link.php?BAVMnr=178"/>
    <hyperlink ref="P13" r:id="rId28" display="http://www.bav-astro.de/sfs/BAVM_link.php?BAVMnr=178"/>
    <hyperlink ref="P14" r:id="rId29" display="http://www.bav-astro.de/sfs/BAVM_link.php?BAVMnr=178"/>
    <hyperlink ref="P15" r:id="rId30" display="http://www.bav-astro.de/sfs/BAVM_link.php?BAVMnr=178"/>
    <hyperlink ref="P16" r:id="rId31" display="http://www.bav-astro.de/sfs/BAVM_link.php?BAVMnr=178"/>
    <hyperlink ref="P17" r:id="rId32" display="http://www.bav-astro.de/sfs/BAVM_link.php?BAVMnr=178"/>
    <hyperlink ref="P18" r:id="rId33" display="http://www.bav-astro.de/sfs/BAVM_link.php?BAVMnr=183"/>
    <hyperlink ref="P45" r:id="rId34" display="http://www.bav-astro.de/sfs/BAVM_link.php?BAVMnr=203"/>
    <hyperlink ref="P46" r:id="rId35" display="http://var.astro.cz/oejv/issues/oejv0094.pdf"/>
    <hyperlink ref="P47" r:id="rId36" display="http://var.astro.cz/oejv/issues/oejv0094.pdf"/>
    <hyperlink ref="P48" r:id="rId37" display="http://var.astro.cz/oejv/issues/oejv0094.pdf"/>
    <hyperlink ref="P49" r:id="rId38" display="http://www.bav-astro.de/sfs/BAVM_link.php?BAVMnr=220"/>
    <hyperlink ref="P50" r:id="rId39" display="http://www.bav-astro.de/sfs/BAVM_link.php?BAVMnr=214"/>
    <hyperlink ref="P51" r:id="rId40" display="http://www.bav-astro.de/sfs/BAVM_link.php?BAVMnr=220"/>
    <hyperlink ref="P19" r:id="rId41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A45" sqref="A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38</v>
      </c>
    </row>
    <row r="2" spans="1:4" x14ac:dyDescent="0.2">
      <c r="A2" t="s">
        <v>28</v>
      </c>
      <c r="B2" s="11" t="s">
        <v>33</v>
      </c>
    </row>
    <row r="4" spans="1:4" x14ac:dyDescent="0.2">
      <c r="A4" s="8" t="s">
        <v>2</v>
      </c>
      <c r="C4" s="3">
        <v>40371.409500000002</v>
      </c>
      <c r="D4" s="4">
        <v>1.95669202</v>
      </c>
    </row>
    <row r="6" spans="1:4" x14ac:dyDescent="0.2">
      <c r="A6" s="8" t="s">
        <v>3</v>
      </c>
    </row>
    <row r="7" spans="1:4" x14ac:dyDescent="0.2">
      <c r="A7" t="s">
        <v>4</v>
      </c>
      <c r="C7">
        <f>+C4</f>
        <v>40371.409500000002</v>
      </c>
    </row>
    <row r="8" spans="1:4" x14ac:dyDescent="0.2">
      <c r="A8" t="s">
        <v>5</v>
      </c>
      <c r="C8">
        <f>+D4</f>
        <v>1.95669202</v>
      </c>
    </row>
    <row r="10" spans="1:4" ht="13.5" thickBot="1" x14ac:dyDescent="0.25">
      <c r="C10" s="7" t="s">
        <v>23</v>
      </c>
      <c r="D10" s="7" t="s">
        <v>24</v>
      </c>
    </row>
    <row r="11" spans="1:4" x14ac:dyDescent="0.2">
      <c r="A11" t="s">
        <v>18</v>
      </c>
      <c r="C11">
        <f>INTERCEPT(G21:G999,$F21:$F999)</f>
        <v>-1.4199804229548529E-3</v>
      </c>
      <c r="D11" s="6"/>
    </row>
    <row r="12" spans="1:4" x14ac:dyDescent="0.2">
      <c r="A12" t="s">
        <v>19</v>
      </c>
      <c r="C12">
        <f>SLOPE(G21:G999,$F21:$F999)</f>
        <v>1.602600442510549E-5</v>
      </c>
      <c r="D12" s="6"/>
    </row>
    <row r="13" spans="1:4" x14ac:dyDescent="0.2">
      <c r="A13" t="s">
        <v>22</v>
      </c>
      <c r="C13" s="6" t="s">
        <v>16</v>
      </c>
      <c r="D13" s="6"/>
    </row>
    <row r="14" spans="1:4" x14ac:dyDescent="0.2">
      <c r="A14" t="s">
        <v>27</v>
      </c>
    </row>
    <row r="15" spans="1:4" x14ac:dyDescent="0.2">
      <c r="A15" s="5" t="s">
        <v>20</v>
      </c>
      <c r="C15" s="15">
        <f>(C7+C11)+(C8+C12)*INT(MAX(F21:F3533))</f>
        <v>53661.369128481638</v>
      </c>
      <c r="D15" s="14">
        <v>48095.509899999997</v>
      </c>
    </row>
    <row r="16" spans="1:4" x14ac:dyDescent="0.2">
      <c r="A16" s="8" t="s">
        <v>6</v>
      </c>
      <c r="C16" s="16">
        <f>+C8+C12</f>
        <v>1.9567080460044251</v>
      </c>
    </row>
    <row r="17" spans="1:17" ht="13.5" thickBot="1" x14ac:dyDescent="0.25">
      <c r="A17" s="17" t="s">
        <v>37</v>
      </c>
      <c r="C17">
        <f>COUNT(C21:C2191)</f>
        <v>8</v>
      </c>
    </row>
    <row r="18" spans="1:17" x14ac:dyDescent="0.2">
      <c r="A18" s="8" t="s">
        <v>7</v>
      </c>
      <c r="C18" s="3">
        <f>+C15</f>
        <v>53661.369128481638</v>
      </c>
      <c r="D18" s="4">
        <f>+C16</f>
        <v>1.9567080460044251</v>
      </c>
    </row>
    <row r="19" spans="1:17" ht="13.5" thickTop="1" x14ac:dyDescent="0.2"/>
    <row r="20" spans="1:17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36</v>
      </c>
      <c r="J20" s="10" t="s">
        <v>21</v>
      </c>
      <c r="K20" s="10" t="s">
        <v>29</v>
      </c>
      <c r="L20" s="10" t="s">
        <v>30</v>
      </c>
      <c r="M20" s="10" t="s">
        <v>31</v>
      </c>
      <c r="N20" s="10" t="s">
        <v>32</v>
      </c>
      <c r="O20" s="10" t="s">
        <v>26</v>
      </c>
      <c r="P20" s="9" t="s">
        <v>25</v>
      </c>
      <c r="Q20" s="7" t="s">
        <v>17</v>
      </c>
    </row>
    <row r="21" spans="1:17" x14ac:dyDescent="0.2">
      <c r="A21" t="s">
        <v>14</v>
      </c>
      <c r="C21">
        <f>+C4</f>
        <v>40371.409500000002</v>
      </c>
      <c r="D21" s="6" t="s">
        <v>16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si="3">+C$11+C$12*$F21</f>
        <v>-1.4199804229548529E-3</v>
      </c>
      <c r="Q21" s="2">
        <f t="shared" ref="Q21:Q28" si="4">+C21-15018.5</f>
        <v>25352.909500000002</v>
      </c>
    </row>
    <row r="22" spans="1:17" x14ac:dyDescent="0.2">
      <c r="A22" s="12" t="s">
        <v>34</v>
      </c>
      <c r="B22" s="13" t="s">
        <v>35</v>
      </c>
      <c r="C22" s="14">
        <v>48095.509899999997</v>
      </c>
      <c r="D22" s="6" t="s">
        <v>16</v>
      </c>
      <c r="E22">
        <f t="shared" si="0"/>
        <v>3947.529974594569</v>
      </c>
      <c r="F22">
        <f t="shared" si="1"/>
        <v>3947.5</v>
      </c>
      <c r="G22">
        <f t="shared" si="2"/>
        <v>5.8651049992477056E-2</v>
      </c>
      <c r="I22">
        <f t="shared" ref="I22:I28" si="5">+G22</f>
        <v>5.8651049992477056E-2</v>
      </c>
      <c r="O22">
        <f t="shared" si="3"/>
        <v>6.1842672045149066E-2</v>
      </c>
      <c r="Q22" s="2">
        <f t="shared" si="4"/>
        <v>33077.009899999997</v>
      </c>
    </row>
    <row r="23" spans="1:17" x14ac:dyDescent="0.2">
      <c r="A23" s="11" t="s">
        <v>39</v>
      </c>
      <c r="B23" s="18"/>
      <c r="C23" s="19">
        <v>53569.392599999999</v>
      </c>
      <c r="D23" s="19">
        <v>1E-3</v>
      </c>
      <c r="E23">
        <f t="shared" si="0"/>
        <v>6745.0487685844382</v>
      </c>
      <c r="F23">
        <f t="shared" si="1"/>
        <v>6745</v>
      </c>
      <c r="G23">
        <f t="shared" si="2"/>
        <v>9.5425100000284147E-2</v>
      </c>
      <c r="I23">
        <f t="shared" si="5"/>
        <v>9.5425100000284147E-2</v>
      </c>
      <c r="O23">
        <f t="shared" si="3"/>
        <v>0.10667541942438168</v>
      </c>
      <c r="Q23" s="2">
        <f t="shared" si="4"/>
        <v>38550.892599999999</v>
      </c>
    </row>
    <row r="24" spans="1:17" x14ac:dyDescent="0.2">
      <c r="A24" s="11" t="s">
        <v>39</v>
      </c>
      <c r="B24" s="6" t="s">
        <v>35</v>
      </c>
      <c r="C24" s="19">
        <v>53611.464999999997</v>
      </c>
      <c r="D24" s="19">
        <v>1.4E-3</v>
      </c>
      <c r="E24">
        <f t="shared" si="0"/>
        <v>6766.5505683413558</v>
      </c>
      <c r="F24">
        <f t="shared" si="1"/>
        <v>6766.5</v>
      </c>
      <c r="G24">
        <f t="shared" si="2"/>
        <v>9.8946669997530989E-2</v>
      </c>
      <c r="I24">
        <f t="shared" si="5"/>
        <v>9.8946669997530989E-2</v>
      </c>
      <c r="O24">
        <f t="shared" si="3"/>
        <v>0.10701997851952144</v>
      </c>
      <c r="Q24" s="2">
        <f t="shared" si="4"/>
        <v>38592.964999999997</v>
      </c>
    </row>
    <row r="25" spans="1:17" x14ac:dyDescent="0.2">
      <c r="A25" s="11" t="s">
        <v>39</v>
      </c>
      <c r="B25" s="18"/>
      <c r="C25" s="19">
        <v>53612.458200000001</v>
      </c>
      <c r="D25" s="19">
        <v>6.9999999999999999E-4</v>
      </c>
      <c r="E25">
        <f t="shared" si="0"/>
        <v>6767.0581597199953</v>
      </c>
      <c r="F25">
        <f t="shared" si="1"/>
        <v>6767</v>
      </c>
      <c r="G25">
        <f t="shared" si="2"/>
        <v>0.11380066000128863</v>
      </c>
      <c r="I25">
        <f t="shared" si="5"/>
        <v>0.11380066000128863</v>
      </c>
      <c r="O25">
        <f t="shared" si="3"/>
        <v>0.10702799152173399</v>
      </c>
      <c r="Q25" s="2">
        <f t="shared" si="4"/>
        <v>38593.958200000001</v>
      </c>
    </row>
    <row r="26" spans="1:17" x14ac:dyDescent="0.2">
      <c r="A26" s="11" t="s">
        <v>39</v>
      </c>
      <c r="B26" s="18"/>
      <c r="C26" s="19">
        <v>53659.411800000002</v>
      </c>
      <c r="D26" s="19">
        <v>2.5999999999999999E-3</v>
      </c>
      <c r="E26">
        <f t="shared" si="0"/>
        <v>6791.0545779197282</v>
      </c>
      <c r="F26">
        <f t="shared" si="1"/>
        <v>6791</v>
      </c>
      <c r="G26">
        <f t="shared" si="2"/>
        <v>0.10679217999859247</v>
      </c>
      <c r="I26">
        <f t="shared" si="5"/>
        <v>0.10679217999859247</v>
      </c>
      <c r="O26">
        <f t="shared" si="3"/>
        <v>0.10741261562793653</v>
      </c>
      <c r="Q26" s="2">
        <f t="shared" si="4"/>
        <v>38640.911800000002</v>
      </c>
    </row>
    <row r="27" spans="1:17" x14ac:dyDescent="0.2">
      <c r="A27" s="11" t="s">
        <v>39</v>
      </c>
      <c r="B27" s="18"/>
      <c r="C27" s="19">
        <v>53661.375899999999</v>
      </c>
      <c r="D27" s="19">
        <v>3.7000000000000002E-3</v>
      </c>
      <c r="E27">
        <f t="shared" si="0"/>
        <v>6792.058363891113</v>
      </c>
      <c r="F27">
        <f t="shared" si="1"/>
        <v>6792</v>
      </c>
      <c r="G27">
        <f t="shared" si="2"/>
        <v>0.11420015999465249</v>
      </c>
      <c r="I27">
        <f t="shared" si="5"/>
        <v>0.11420015999465249</v>
      </c>
      <c r="O27">
        <f t="shared" si="3"/>
        <v>0.10742864163236164</v>
      </c>
      <c r="Q27" s="2">
        <f t="shared" si="4"/>
        <v>38642.875899999999</v>
      </c>
    </row>
    <row r="28" spans="1:17" x14ac:dyDescent="0.2">
      <c r="A28" s="11" t="s">
        <v>39</v>
      </c>
      <c r="B28" s="18"/>
      <c r="C28" s="19">
        <v>53661.3773</v>
      </c>
      <c r="D28" s="19">
        <v>6.3E-3</v>
      </c>
      <c r="E28">
        <f t="shared" si="0"/>
        <v>6792.0590793843985</v>
      </c>
      <c r="F28">
        <f t="shared" si="1"/>
        <v>6792</v>
      </c>
      <c r="G28">
        <f t="shared" si="2"/>
        <v>0.11560015999566531</v>
      </c>
      <c r="I28">
        <f t="shared" si="5"/>
        <v>0.11560015999566531</v>
      </c>
      <c r="O28">
        <f t="shared" si="3"/>
        <v>0.10742864163236164</v>
      </c>
      <c r="Q28" s="2">
        <f t="shared" si="4"/>
        <v>38642.8773</v>
      </c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2024-02-04T04:35:23Z</dcterms:modified>
</cp:coreProperties>
</file>