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6AAD45B-C4D0-49E6-AA56-6AFD0E6ACB49}" xr6:coauthVersionLast="47" xr6:coauthVersionMax="47" xr10:uidLastSave="{00000000-0000-0000-0000-000000000000}"/>
  <bookViews>
    <workbookView xWindow="-120" yWindow="-120" windowWidth="29040" windowHeight="15840"/>
  </bookViews>
  <sheets>
    <sheet name="Active 2" sheetId="3" r:id="rId1"/>
    <sheet name="Active 1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D9" i="3" l="1"/>
  <c r="E9" i="3"/>
  <c r="F16" i="3"/>
  <c r="F17" i="3" s="1"/>
  <c r="E21" i="3"/>
  <c r="F21" i="3"/>
  <c r="G21" i="3"/>
  <c r="H21" i="3"/>
  <c r="Q21" i="3"/>
  <c r="E22" i="3"/>
  <c r="F22" i="3"/>
  <c r="G22" i="3"/>
  <c r="H22" i="3"/>
  <c r="Q22" i="3"/>
  <c r="E23" i="3"/>
  <c r="F23" i="3"/>
  <c r="U23" i="3"/>
  <c r="Q23" i="3"/>
  <c r="A24" i="3"/>
  <c r="C24" i="3"/>
  <c r="C17" i="3"/>
  <c r="E24" i="3"/>
  <c r="F24" i="3"/>
  <c r="G24" i="3"/>
  <c r="H24" i="3"/>
  <c r="Q24" i="3"/>
  <c r="E25" i="3"/>
  <c r="F25" i="3"/>
  <c r="G25" i="3"/>
  <c r="I25" i="3"/>
  <c r="Q25" i="3"/>
  <c r="E26" i="3"/>
  <c r="F26" i="3"/>
  <c r="G26" i="3"/>
  <c r="K26" i="3"/>
  <c r="Q26" i="3"/>
  <c r="E26" i="1"/>
  <c r="F26" i="1"/>
  <c r="G26" i="1"/>
  <c r="K26" i="1"/>
  <c r="E21" i="1"/>
  <c r="F21" i="1"/>
  <c r="G21" i="1"/>
  <c r="I21" i="1"/>
  <c r="E22" i="1"/>
  <c r="F22" i="1"/>
  <c r="G22" i="1"/>
  <c r="I22" i="1"/>
  <c r="E25" i="1"/>
  <c r="F25" i="1"/>
  <c r="G25" i="1"/>
  <c r="I25" i="1"/>
  <c r="E23" i="1"/>
  <c r="F23" i="1"/>
  <c r="U23" i="1"/>
  <c r="Q26" i="1"/>
  <c r="Q21" i="1"/>
  <c r="Q22" i="1"/>
  <c r="Q23" i="1"/>
  <c r="Q25" i="1"/>
  <c r="G15" i="2"/>
  <c r="C15" i="2"/>
  <c r="G11" i="2"/>
  <c r="C11" i="2"/>
  <c r="G14" i="2"/>
  <c r="C14" i="2"/>
  <c r="E14" i="2"/>
  <c r="G13" i="2"/>
  <c r="C13" i="2"/>
  <c r="E13" i="2"/>
  <c r="G12" i="2"/>
  <c r="C12" i="2"/>
  <c r="E12" i="2"/>
  <c r="H15" i="2"/>
  <c r="D15" i="2"/>
  <c r="B15" i="2"/>
  <c r="A15" i="2"/>
  <c r="H11" i="2"/>
  <c r="B11" i="2"/>
  <c r="D11" i="2"/>
  <c r="A11" i="2"/>
  <c r="H14" i="2"/>
  <c r="D14" i="2"/>
  <c r="B14" i="2"/>
  <c r="A14" i="2"/>
  <c r="H13" i="2"/>
  <c r="B13" i="2"/>
  <c r="D13" i="2"/>
  <c r="A13" i="2"/>
  <c r="H12" i="2"/>
  <c r="D12" i="2"/>
  <c r="B12" i="2"/>
  <c r="A12" i="2"/>
  <c r="D9" i="1"/>
  <c r="C24" i="1"/>
  <c r="C17" i="1"/>
  <c r="E9" i="1"/>
  <c r="A24" i="1"/>
  <c r="F16" i="1"/>
  <c r="F17" i="1" s="1"/>
  <c r="Q24" i="1"/>
  <c r="E11" i="2"/>
  <c r="E15" i="2"/>
  <c r="E24" i="1"/>
  <c r="F24" i="1"/>
  <c r="G24" i="1"/>
  <c r="H24" i="1"/>
  <c r="C11" i="3"/>
  <c r="C12" i="3"/>
  <c r="C11" i="1"/>
  <c r="C12" i="1"/>
  <c r="C16" i="1" l="1"/>
  <c r="D18" i="1" s="1"/>
  <c r="O22" i="1"/>
  <c r="O25" i="1"/>
  <c r="O24" i="1"/>
  <c r="O26" i="1"/>
  <c r="O23" i="1"/>
  <c r="C15" i="1"/>
  <c r="O21" i="1"/>
  <c r="C16" i="3"/>
  <c r="D18" i="3" s="1"/>
  <c r="O21" i="3"/>
  <c r="O23" i="3"/>
  <c r="O25" i="3"/>
  <c r="C15" i="3"/>
  <c r="O24" i="3"/>
  <c r="O22" i="3"/>
  <c r="O26" i="3"/>
  <c r="C18" i="3" l="1"/>
  <c r="C18" i="1"/>
  <c r="F18" i="1"/>
  <c r="F19" i="1" s="1"/>
  <c r="F18" i="3"/>
  <c r="F19" i="3" s="1"/>
</calcChain>
</file>

<file path=xl/sharedStrings.xml><?xml version="1.0" encoding="utf-8"?>
<sst xmlns="http://schemas.openxmlformats.org/spreadsheetml/2006/main" count="181" uniqueCount="74">
  <si>
    <t>IBVS 6244</t>
  </si>
  <si>
    <t>Magnitude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</si>
  <si>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</si>
  <si>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</si>
  <si>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</si>
  <si>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</si>
  <si>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</si>
  <si>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</si>
  <si>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</si>
  <si>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</si>
  <si>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</si>
  <si>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</si>
  <si>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</si>
  <si>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</si>
  <si>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</si>
  <si>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</si>
  <si>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</si>
  <si>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</si>
  <si>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</si>
  <si>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</si>
  <si>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</si>
  <si>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</si>
  <si>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</si>
  <si>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</si>
  <si>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</si>
  <si>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</si>
  <si>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</si>
  <si>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</si>
  <si>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</si>
  <si>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</si>
  <si>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</si>
  <si>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</si>
  <si>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</si>
  <si>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</si>
  <si>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</si>
  <si>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</si>
  <si>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</si>
  <si>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</si>
  <si>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</si>
  <si>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</si>
  <si>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</si>
  <si>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</si>
  <si>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</si>
  <si>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</si>
  <si>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</si>
  <si>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</si>
  <si>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</si>
  <si>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</si>
  <si>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</si>
  <si>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</si>
  <si>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V1413 Cyg</t>
  </si>
  <si>
    <t>V1413 Cyg / GSC 34928.465</t>
  </si>
  <si>
    <t>VSX</t>
  </si>
  <si>
    <t>2433064.529 </t>
  </si>
  <si>
    <t> 28.05.1949 00:41 </t>
  </si>
  <si>
    <t> 0.000 </t>
  </si>
  <si>
    <t>P </t>
  </si>
  <si>
    <t> Miller &amp; Wachmann </t>
  </si>
  <si>
    <t> RIA 8.290 </t>
  </si>
  <si>
    <t>2434227.589 </t>
  </si>
  <si>
    <t> 03.08.1952 02:08 </t>
  </si>
  <si>
    <t> 0.060 </t>
  </si>
  <si>
    <t>2434304.418 </t>
  </si>
  <si>
    <t> 18.10.1952 22:01 </t>
  </si>
  <si>
    <t> -0.111 </t>
  </si>
  <si>
    <t>2434928.465 </t>
  </si>
  <si>
    <t> 04.07.1954 23:09 </t>
  </si>
  <si>
    <t> -0.064 </t>
  </si>
  <si>
    <t>2435129.239 </t>
  </si>
  <si>
    <t> 21.01.1955 17:44 </t>
  </si>
  <si>
    <t> -0.290 </t>
  </si>
  <si>
    <t>I</t>
  </si>
  <si>
    <t>BAD?</t>
  </si>
  <si>
    <t>Both sheets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</si>
</sst>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18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6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left" wrapText="1"/>
    </xf>
    <xf numFmtId="0" fontId="0" fillId="0" borderId="5" xfId="0" applyBorder="1" applyAlignment="1">
      <alignment horizontal="left"/>
    </xf>
    <xf numFmtId="0" fontId="36" fillId="0" borderId="0" xfId="42" applyFont="1" applyAlignment="1">
      <alignment horizontal="center" wrapText="1"/>
    </xf>
    <xf numFmtId="0" fontId="0" fillId="27" borderId="0" xfId="0" applyFill="1" applyAlignment="1"/>
    <xf numFmtId="0" fontId="38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V1413 Cyg - O-C Diagr.</a:t>
            </a:r>
          </a:p>
        </c:rich>
      </c:tx>
      <c:layout>
        <c:manualLayout>
          <c:xMode val="edge"/>
          <c:yMode val="edge"/>
          <c:x val="0.3486399914296426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5328153778955"/>
          <c:y val="0.14035127795846455"/>
          <c:w val="0.819729252579673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1.2717000000047847</c:v>
                </c:pt>
                <c:pt idx="1">
                  <c:v>0.10075000000506407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70-456E-95C3-F8EB3F858F2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4">
                  <c:v>-0.37584999999671709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0-456E-95C3-F8EB3F858F2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70-456E-95C3-F8EB3F858F2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5">
                  <c:v>-16.314699999995355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70-456E-95C3-F8EB3F858F2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70-456E-95C3-F8EB3F858F2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70-456E-95C3-F8EB3F858F2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70-456E-95C3-F8EB3F858F2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1.1420305661935561</c:v>
                </c:pt>
                <c:pt idx="1">
                  <c:v>0.32701508512386229</c:v>
                </c:pt>
                <c:pt idx="2">
                  <c:v>0.27154282725000878</c:v>
                </c:pt>
                <c:pt idx="3">
                  <c:v>-0.16370104222176485</c:v>
                </c:pt>
                <c:pt idx="4">
                  <c:v>-0.3045152352861622</c:v>
                </c:pt>
                <c:pt idx="5">
                  <c:v>-16.318929373791715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70-456E-95C3-F8EB3F858F26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  <c:pt idx="2">
                  <c:v>-2.3110999999989872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70-456E-95C3-F8EB3F858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2728"/>
        <c:axId val="1"/>
      </c:scatterChart>
      <c:valAx>
        <c:axId val="736452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90560108558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1088435374153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2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6412412734122"/>
          <c:y val="0.92397937099967764"/>
          <c:w val="0.8180286392772331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V1413 Cyg - O-C Diagr.</a:t>
            </a:r>
          </a:p>
        </c:rich>
      </c:tx>
      <c:layout>
        <c:manualLayout>
          <c:xMode val="edge"/>
          <c:yMode val="edge"/>
          <c:x val="0.3486399914296426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5533082770453"/>
          <c:y val="0.14035127795846455"/>
          <c:w val="0.8146272032897589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0C-47D5-94A5-E26A165AEA7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-3.4031608411169145E-2</c:v>
                </c:pt>
                <c:pt idx="1">
                  <c:v>-0.38996612733899383</c:v>
                </c:pt>
                <c:pt idx="4">
                  <c:v>-0.23503580693068216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0C-47D5-94A5-E26A165AEA7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0C-47D5-94A5-E26A165AEA7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5">
                  <c:v>-0.15947166842670413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0C-47D5-94A5-E26A165AEA7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0C-47D5-94A5-E26A165AEA7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0C-47D5-94A5-E26A165AEA7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8.6999999999999994E-3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0C-47D5-94A5-E26A165AEA7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-0.16370104222104503</c:v>
                </c:pt>
                <c:pt idx="1">
                  <c:v>-0.1637010422211351</c:v>
                </c:pt>
                <c:pt idx="2">
                  <c:v>-0.16370104222114124</c:v>
                </c:pt>
                <c:pt idx="3">
                  <c:v>-0.16370104222118934</c:v>
                </c:pt>
                <c:pt idx="4">
                  <c:v>-0.16370104222120491</c:v>
                </c:pt>
                <c:pt idx="5">
                  <c:v>-0.16370104222297485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0C-47D5-94A5-E26A165AEA7E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-153</c:v>
                </c:pt>
                <c:pt idx="1">
                  <c:v>-57.5</c:v>
                </c:pt>
                <c:pt idx="2">
                  <c:v>-51</c:v>
                </c:pt>
                <c:pt idx="3">
                  <c:v>0</c:v>
                </c:pt>
                <c:pt idx="4">
                  <c:v>16.5</c:v>
                </c:pt>
                <c:pt idx="5">
                  <c:v>1893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2">
                  <c:v>-2.7463438694685465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0C-47D5-94A5-E26A165A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49848"/>
        <c:axId val="1"/>
      </c:scatterChart>
      <c:valAx>
        <c:axId val="73644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1088435374153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4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6498294855998"/>
          <c:y val="0.92397937099967764"/>
          <c:w val="0.8180286392772331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0</xdr:row>
      <xdr:rowOff>47625</xdr:rowOff>
    </xdr:from>
    <xdr:to>
      <xdr:col>19</xdr:col>
      <xdr:colOff>180974</xdr:colOff>
      <xdr:row>18</xdr:row>
      <xdr:rowOff>142875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FBB9010-EF26-6AEF-3309-64530BE78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0</xdr:row>
      <xdr:rowOff>0</xdr:rowOff>
    </xdr:from>
    <xdr:to>
      <xdr:col>19</xdr:col>
      <xdr:colOff>333374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F4F7E9-8B9E-F701-8CFE-54297DB85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51</v>
      </c>
      <c r="F1" s="48" t="s">
        <v>50</v>
      </c>
      <c r="G1" s="49">
        <v>21.593800000000002</v>
      </c>
      <c r="H1" s="50">
        <v>51.581600000000002</v>
      </c>
      <c r="I1" s="51">
        <v>34928.464999999997</v>
      </c>
      <c r="J1" s="51">
        <v>12.190899999999999</v>
      </c>
      <c r="K1" s="52" t="s">
        <v>45</v>
      </c>
      <c r="L1" s="31"/>
      <c r="M1" s="32">
        <v>34928.464999999997</v>
      </c>
      <c r="N1" s="32">
        <v>12.190899999999999</v>
      </c>
      <c r="O1" s="35" t="s">
        <v>45</v>
      </c>
    </row>
    <row r="2" spans="1:15" x14ac:dyDescent="0.2">
      <c r="A2" t="s">
        <v>25</v>
      </c>
      <c r="B2" t="s">
        <v>45</v>
      </c>
      <c r="C2" s="30"/>
      <c r="D2" s="3"/>
    </row>
    <row r="3" spans="1:15" ht="13.5" thickBot="1" x14ac:dyDescent="0.25">
      <c r="A3" t="s">
        <v>1</v>
      </c>
      <c r="B3" s="58">
        <v>12.5</v>
      </c>
      <c r="F3" s="61" t="s">
        <v>73</v>
      </c>
    </row>
    <row r="4" spans="1:15" ht="14.25" thickTop="1" thickBot="1" x14ac:dyDescent="0.25">
      <c r="A4" s="5" t="s">
        <v>2</v>
      </c>
      <c r="C4" s="27" t="s">
        <v>38</v>
      </c>
      <c r="D4" s="28" t="s">
        <v>38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62">
        <v>34928.464999999997</v>
      </c>
      <c r="D7" s="29" t="s">
        <v>52</v>
      </c>
    </row>
    <row r="8" spans="1:15" x14ac:dyDescent="0.2">
      <c r="A8" t="s">
        <v>5</v>
      </c>
      <c r="C8" s="62">
        <v>12.190899999999999</v>
      </c>
      <c r="D8" s="29" t="s">
        <v>52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-0.16370104222176485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-8.5341935190543852E-3</v>
      </c>
      <c r="D12" s="3"/>
      <c r="E12" s="10"/>
      <c r="F12" s="3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57989.519770626204</v>
      </c>
      <c r="E15" s="14" t="s">
        <v>35</v>
      </c>
      <c r="F15" s="33">
        <v>1</v>
      </c>
    </row>
    <row r="16" spans="1:15" x14ac:dyDescent="0.2">
      <c r="A16" s="16" t="s">
        <v>6</v>
      </c>
      <c r="B16" s="10"/>
      <c r="C16" s="17">
        <f ca="1">+C8+C12</f>
        <v>12.182365806480945</v>
      </c>
      <c r="E16" s="14" t="s">
        <v>32</v>
      </c>
      <c r="F16" s="34">
        <f ca="1">NOW()+15018.5+$C$5/24</f>
        <v>60344.7364662037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36</v>
      </c>
      <c r="F17" s="15">
        <f ca="1">ROUND(2*(F16-$C$7)/$C$8,0)/2+F15</f>
        <v>2086</v>
      </c>
    </row>
    <row r="18" spans="1:21" ht="14.25" thickTop="1" thickBot="1" x14ac:dyDescent="0.25">
      <c r="A18" s="16" t="s">
        <v>7</v>
      </c>
      <c r="B18" s="10"/>
      <c r="C18" s="19">
        <f ca="1">+C15</f>
        <v>57989.519770626204</v>
      </c>
      <c r="D18" s="20">
        <f ca="1">+C16</f>
        <v>12.182365806480945</v>
      </c>
      <c r="E18" s="14" t="s">
        <v>37</v>
      </c>
      <c r="F18" s="23">
        <f ca="1">ROUND(2*(F16-$C$15)/$C$16,0)/2+F15</f>
        <v>194.5</v>
      </c>
    </row>
    <row r="19" spans="1:21" ht="13.5" thickTop="1" x14ac:dyDescent="0.2">
      <c r="E19" s="14" t="s">
        <v>33</v>
      </c>
      <c r="F19" s="18">
        <f ca="1">+$C$15+$C$16*F18-15018.5-$C$5/24</f>
        <v>45340.885753320086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72</v>
      </c>
    </row>
    <row r="21" spans="1:21" x14ac:dyDescent="0.2">
      <c r="A21" s="53" t="s">
        <v>58</v>
      </c>
      <c r="B21" s="55" t="s">
        <v>71</v>
      </c>
      <c r="C21" s="54">
        <v>33064.529000000002</v>
      </c>
      <c r="D21" s="54" t="s">
        <v>40</v>
      </c>
      <c r="E21">
        <f t="shared" ref="E21:E26" si="0">+(C21-C$7)/C$8</f>
        <v>-152.89568448596859</v>
      </c>
      <c r="F21">
        <f>ROUND(2*E21,0)/2</f>
        <v>-153</v>
      </c>
      <c r="G21">
        <f>+C21-(C$7+F21*C$8)</f>
        <v>1.2717000000047847</v>
      </c>
      <c r="H21">
        <f>+G21</f>
        <v>1.2717000000047847</v>
      </c>
      <c r="O21">
        <f t="shared" ref="O21:O26" ca="1" si="1">+C$11+C$12*$F21</f>
        <v>1.1420305661935561</v>
      </c>
      <c r="Q21" s="2">
        <f t="shared" ref="Q21:Q26" si="2">+C21-15018.5</f>
        <v>18046.029000000002</v>
      </c>
      <c r="R21" s="2"/>
      <c r="S21" s="2"/>
      <c r="T21" s="2"/>
    </row>
    <row r="22" spans="1:21" x14ac:dyDescent="0.2">
      <c r="A22" s="53" t="s">
        <v>58</v>
      </c>
      <c r="B22" s="55" t="s">
        <v>71</v>
      </c>
      <c r="C22" s="54">
        <v>34227.589</v>
      </c>
      <c r="D22" s="54" t="s">
        <v>40</v>
      </c>
      <c r="E22">
        <f t="shared" si="0"/>
        <v>-57.491735638877898</v>
      </c>
      <c r="F22">
        <f>ROUND(2*E22,0)/2</f>
        <v>-57.5</v>
      </c>
      <c r="G22">
        <f>+C22-(C$7+F22*C$8)</f>
        <v>0.10075000000506407</v>
      </c>
      <c r="H22">
        <f>+G22</f>
        <v>0.10075000000506407</v>
      </c>
      <c r="O22">
        <f t="shared" ca="1" si="1"/>
        <v>0.32701508512386229</v>
      </c>
      <c r="Q22" s="2">
        <f t="shared" si="2"/>
        <v>19209.089</v>
      </c>
      <c r="R22" s="2"/>
      <c r="S22" s="2"/>
      <c r="T22" s="2"/>
    </row>
    <row r="23" spans="1:21" x14ac:dyDescent="0.2">
      <c r="A23" s="53" t="s">
        <v>58</v>
      </c>
      <c r="B23" s="55" t="s">
        <v>71</v>
      </c>
      <c r="C23" s="54">
        <v>34304.417999999998</v>
      </c>
      <c r="D23" s="54" t="s">
        <v>40</v>
      </c>
      <c r="E23">
        <f t="shared" si="0"/>
        <v>-51.189575831152638</v>
      </c>
      <c r="F23">
        <f>ROUND(2*E23,0)/2</f>
        <v>-51</v>
      </c>
      <c r="O23">
        <f t="shared" ca="1" si="1"/>
        <v>0.27154282725000878</v>
      </c>
      <c r="Q23" s="2">
        <f t="shared" si="2"/>
        <v>19285.917999999998</v>
      </c>
      <c r="R23" s="2"/>
      <c r="S23" s="2"/>
      <c r="T23" s="2"/>
      <c r="U23">
        <f>+C23-(C$7+F23*C$8)</f>
        <v>-2.3110999999989872</v>
      </c>
    </row>
    <row r="24" spans="1:21" x14ac:dyDescent="0.2">
      <c r="A24" t="str">
        <f>D10</f>
        <v>Quadratic</v>
      </c>
      <c r="C24" s="8">
        <f>C$7</f>
        <v>34928.464999999997</v>
      </c>
      <c r="D24" s="8" t="s">
        <v>15</v>
      </c>
      <c r="E24">
        <f t="shared" si="0"/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t="shared" ca="1" si="1"/>
        <v>-0.16370104222176485</v>
      </c>
      <c r="Q24" s="2">
        <f t="shared" si="2"/>
        <v>19909.964999999997</v>
      </c>
      <c r="R24" s="2"/>
      <c r="S24" s="2"/>
      <c r="T24" s="2"/>
    </row>
    <row r="25" spans="1:21" x14ac:dyDescent="0.2">
      <c r="A25" s="53" t="s">
        <v>58</v>
      </c>
      <c r="B25" s="55" t="s">
        <v>71</v>
      </c>
      <c r="C25" s="54">
        <v>35129.239000000001</v>
      </c>
      <c r="D25" s="54" t="s">
        <v>40</v>
      </c>
      <c r="E25">
        <f t="shared" si="0"/>
        <v>16.469169626525105</v>
      </c>
      <c r="F25">
        <f>ROUND(2*E25,0)/2</f>
        <v>16.5</v>
      </c>
      <c r="G25">
        <f>+C25-(C$7+F25*C$8)</f>
        <v>-0.37584999999671709</v>
      </c>
      <c r="I25">
        <f>+G25</f>
        <v>-0.37584999999671709</v>
      </c>
      <c r="O25">
        <f t="shared" ca="1" si="1"/>
        <v>-0.3045152352861622</v>
      </c>
      <c r="Q25" s="2">
        <f t="shared" si="2"/>
        <v>20110.739000000001</v>
      </c>
      <c r="R25" s="2"/>
      <c r="S25" s="2"/>
      <c r="T25" s="2"/>
    </row>
    <row r="26" spans="1:21" x14ac:dyDescent="0.2">
      <c r="A26" s="56" t="s">
        <v>0</v>
      </c>
      <c r="B26" s="59" t="s">
        <v>71</v>
      </c>
      <c r="C26" s="57">
        <v>57989.523999999998</v>
      </c>
      <c r="D26" s="57">
        <v>8.6999999999999994E-3</v>
      </c>
      <c r="E26">
        <f t="shared" si="0"/>
        <v>1891.6617312913734</v>
      </c>
      <c r="F26" s="60">
        <f>ROUND(2*E26,0)/2+1.5</f>
        <v>1893</v>
      </c>
      <c r="G26">
        <f>+C26-(C$7+F26*C$8)</f>
        <v>-16.314699999995355</v>
      </c>
      <c r="K26">
        <f>+G26</f>
        <v>-16.314699999995355</v>
      </c>
      <c r="O26">
        <f t="shared" ca="1" si="1"/>
        <v>-16.318929373791715</v>
      </c>
      <c r="Q26" s="2">
        <f t="shared" si="2"/>
        <v>42971.023999999998</v>
      </c>
      <c r="R26" s="2"/>
      <c r="S26" s="2"/>
      <c r="T26" s="2"/>
    </row>
    <row r="27" spans="1:21" x14ac:dyDescent="0.2">
      <c r="C27" s="8"/>
      <c r="D27" s="8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581" r:id="rId1" display="http://vsolj.cetus-net.org/bulletin.html"/>
    <hyperlink ref="H64574" r:id="rId2" display="https://www.aavso.org/ejaavso"/>
    <hyperlink ref="AP725" r:id="rId3" display="http://cdsbib.u-strasbg.fr/cgi-bin/cdsbib?1990RMxAA..21..381G"/>
    <hyperlink ref="AP729" r:id="rId4" display="http://cdsbib.u-strasbg.fr/cgi-bin/cdsbib?1990RMxAA..21..381G"/>
    <hyperlink ref="AP728" r:id="rId5" display="http://cdsbib.u-strasbg.fr/cgi-bin/cdsbib?1990RMxAA..21..381G"/>
    <hyperlink ref="AP709" r:id="rId6" display="http://cdsbib.u-strasbg.fr/cgi-bin/cdsbib?1990RMxAA..21..381G"/>
    <hyperlink ref="I64581" r:id="rId7" display="http://vsolj.cetus-net.org/bulletin.html"/>
    <hyperlink ref="AQ865" r:id="rId8" display="http://cdsbib.u-strasbg.fr/cgi-bin/cdsbib?1990RMxAA..21..381G"/>
    <hyperlink ref="AQ55631" r:id="rId9" display="http://cdsbib.u-strasbg.fr/cgi-bin/cdsbib?1990RMxAA..21..381G"/>
    <hyperlink ref="AQ866" r:id="rId10" display="http://cdsbib.u-strasbg.fr/cgi-bin/cdsbib?1990RMxAA..21..381G"/>
    <hyperlink ref="H64578" r:id="rId11" display="https://www.aavso.org/ejaavso"/>
    <hyperlink ref="H1751" r:id="rId12" display="http://vsolj.cetus-net.org/bulletin.html"/>
    <hyperlink ref="AP2995" r:id="rId13" display="http://cdsbib.u-strasbg.fr/cgi-bin/cdsbib?1990RMxAA..21..381G"/>
    <hyperlink ref="AP2998" r:id="rId14" display="http://cdsbib.u-strasbg.fr/cgi-bin/cdsbib?1990RMxAA..21..381G"/>
    <hyperlink ref="AP2996" r:id="rId15" display="http://cdsbib.u-strasbg.fr/cgi-bin/cdsbib?1990RMxAA..21..381G"/>
    <hyperlink ref="AP2980" r:id="rId16" display="http://cdsbib.u-strasbg.fr/cgi-bin/cdsbib?1990RMxAA..21..381G"/>
    <hyperlink ref="I1751" r:id="rId17" display="http://vsolj.cetus-net.org/bulletin.html"/>
    <hyperlink ref="AQ3209" r:id="rId18" display="http://cdsbib.u-strasbg.fr/cgi-bin/cdsbib?1990RMxAA..21..381G"/>
    <hyperlink ref="AQ65446" r:id="rId19" display="http://cdsbib.u-strasbg.fr/cgi-bin/cdsbib?1990RMxAA..21..381G"/>
    <hyperlink ref="AQ321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51</v>
      </c>
      <c r="F1" s="48" t="s">
        <v>50</v>
      </c>
      <c r="G1" s="49">
        <v>21.593800000000002</v>
      </c>
      <c r="H1" s="50">
        <v>51.581600000000002</v>
      </c>
      <c r="I1" s="51">
        <v>34928.464999999997</v>
      </c>
      <c r="J1" s="51">
        <v>12.190899999999999</v>
      </c>
      <c r="K1" s="52" t="s">
        <v>45</v>
      </c>
      <c r="L1" s="31"/>
      <c r="M1" s="32">
        <v>34928.464999999997</v>
      </c>
      <c r="N1" s="32">
        <v>12.190899999999999</v>
      </c>
      <c r="O1" s="35" t="s">
        <v>45</v>
      </c>
    </row>
    <row r="2" spans="1:15" x14ac:dyDescent="0.2">
      <c r="A2" t="s">
        <v>25</v>
      </c>
      <c r="B2" t="s">
        <v>45</v>
      </c>
      <c r="C2" s="30"/>
      <c r="D2" s="3"/>
    </row>
    <row r="3" spans="1:15" ht="13.5" thickBot="1" x14ac:dyDescent="0.25">
      <c r="A3" t="s">
        <v>1</v>
      </c>
      <c r="B3" s="58">
        <v>12.5</v>
      </c>
      <c r="F3" s="61" t="s">
        <v>73</v>
      </c>
    </row>
    <row r="4" spans="1:15" ht="14.25" thickTop="1" thickBot="1" x14ac:dyDescent="0.25">
      <c r="A4" s="5" t="s">
        <v>2</v>
      </c>
      <c r="C4" s="27" t="s">
        <v>38</v>
      </c>
      <c r="D4" s="28" t="s">
        <v>38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62">
        <v>34928.464999999997</v>
      </c>
      <c r="D7" s="29" t="s">
        <v>52</v>
      </c>
    </row>
    <row r="8" spans="1:15" x14ac:dyDescent="0.2">
      <c r="A8" t="s">
        <v>5</v>
      </c>
      <c r="C8" s="62">
        <v>12.182365806480945</v>
      </c>
      <c r="D8" s="29" t="s">
        <v>52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-0.16370104222118934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-9.4322512713939554E-16</v>
      </c>
      <c r="D12" s="3"/>
      <c r="E12" s="10"/>
      <c r="F12" s="3"/>
    </row>
    <row r="13" spans="1:15" x14ac:dyDescent="0.2">
      <c r="A13" s="10" t="s">
        <v>20</v>
      </c>
      <c r="B13" s="10"/>
      <c r="C13" s="3" t="s">
        <v>15</v>
      </c>
      <c r="F13">
        <v>0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57989.519770626197</v>
      </c>
      <c r="E15" s="14" t="s">
        <v>35</v>
      </c>
      <c r="F15" s="33">
        <v>1</v>
      </c>
    </row>
    <row r="16" spans="1:15" x14ac:dyDescent="0.2">
      <c r="A16" s="16" t="s">
        <v>6</v>
      </c>
      <c r="B16" s="10"/>
      <c r="C16" s="17">
        <f ca="1">+C8+C12</f>
        <v>12.182365806480943</v>
      </c>
      <c r="E16" s="14" t="s">
        <v>32</v>
      </c>
      <c r="F16" s="34">
        <f ca="1">NOW()+15018.5+$C$5/24</f>
        <v>60344.7364662037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36</v>
      </c>
      <c r="F17" s="15">
        <f ca="1">ROUND(2*(F16-$C$7)/$C$8,0)/2+F15</f>
        <v>2087.5</v>
      </c>
    </row>
    <row r="18" spans="1:21" ht="14.25" thickTop="1" thickBot="1" x14ac:dyDescent="0.25">
      <c r="A18" s="16" t="s">
        <v>7</v>
      </c>
      <c r="B18" s="10"/>
      <c r="C18" s="19">
        <f ca="1">+C15</f>
        <v>57989.519770626197</v>
      </c>
      <c r="D18" s="20">
        <f ca="1">+C16</f>
        <v>12.182365806480943</v>
      </c>
      <c r="E18" s="14" t="s">
        <v>37</v>
      </c>
      <c r="F18" s="23">
        <f ca="1">ROUND(2*(F16-$C$15)/$C$16,0)/2+F15</f>
        <v>194.5</v>
      </c>
    </row>
    <row r="19" spans="1:21" ht="13.5" thickTop="1" x14ac:dyDescent="0.2">
      <c r="E19" s="14" t="s">
        <v>33</v>
      </c>
      <c r="F19" s="18">
        <f ca="1">+$C$15+$C$16*F18-15018.5-$C$5/24</f>
        <v>45340.885753320079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72</v>
      </c>
    </row>
    <row r="21" spans="1:21" x14ac:dyDescent="0.2">
      <c r="A21" s="53" t="s">
        <v>58</v>
      </c>
      <c r="B21" s="55" t="s">
        <v>71</v>
      </c>
      <c r="C21" s="54">
        <v>33064.529000000002</v>
      </c>
      <c r="D21" s="54" t="s">
        <v>40</v>
      </c>
      <c r="E21">
        <f t="shared" ref="E21:E26" si="0">+(C21-C$7)/C$8</f>
        <v>-153.00279351391595</v>
      </c>
      <c r="F21">
        <f t="shared" ref="F21:F26" si="1">ROUND(2*E21,0)/2</f>
        <v>-153</v>
      </c>
      <c r="G21">
        <f>+C21-(C$7+F21*C$8)</f>
        <v>-3.4031608411169145E-2</v>
      </c>
      <c r="I21">
        <f>+G21</f>
        <v>-3.4031608411169145E-2</v>
      </c>
      <c r="O21">
        <f t="shared" ref="O21:O26" ca="1" si="2">+C$11+C$12*$F21</f>
        <v>-0.16370104222104503</v>
      </c>
      <c r="Q21" s="2">
        <f t="shared" ref="Q21:Q26" si="3">+C21-15018.5</f>
        <v>18046.029000000002</v>
      </c>
      <c r="R21" s="2"/>
      <c r="S21" s="2"/>
      <c r="T21" s="2"/>
    </row>
    <row r="22" spans="1:21" x14ac:dyDescent="0.2">
      <c r="A22" s="53" t="s">
        <v>58</v>
      </c>
      <c r="B22" s="55" t="s">
        <v>71</v>
      </c>
      <c r="C22" s="54">
        <v>34227.589</v>
      </c>
      <c r="D22" s="54" t="s">
        <v>40</v>
      </c>
      <c r="E22">
        <f t="shared" si="0"/>
        <v>-57.532010705764129</v>
      </c>
      <c r="F22">
        <f t="shared" si="1"/>
        <v>-57.5</v>
      </c>
      <c r="G22">
        <f>+C22-(C$7+F22*C$8)</f>
        <v>-0.38996612733899383</v>
      </c>
      <c r="I22">
        <f>+G22</f>
        <v>-0.38996612733899383</v>
      </c>
      <c r="O22">
        <f t="shared" ca="1" si="2"/>
        <v>-0.1637010422211351</v>
      </c>
      <c r="Q22" s="2">
        <f t="shared" si="3"/>
        <v>19209.089</v>
      </c>
      <c r="R22" s="2"/>
      <c r="S22" s="2"/>
      <c r="T22" s="2"/>
    </row>
    <row r="23" spans="1:21" x14ac:dyDescent="0.2">
      <c r="A23" s="53" t="s">
        <v>58</v>
      </c>
      <c r="B23" s="55" t="s">
        <v>71</v>
      </c>
      <c r="C23" s="54">
        <v>34304.417999999998</v>
      </c>
      <c r="D23" s="54" t="s">
        <v>40</v>
      </c>
      <c r="E23">
        <f t="shared" si="0"/>
        <v>-51.225436004229117</v>
      </c>
      <c r="F23">
        <f t="shared" si="1"/>
        <v>-51</v>
      </c>
      <c r="O23">
        <f t="shared" ca="1" si="2"/>
        <v>-0.16370104222114124</v>
      </c>
      <c r="Q23" s="2">
        <f t="shared" si="3"/>
        <v>19285.917999999998</v>
      </c>
      <c r="R23" s="2"/>
      <c r="S23" s="2"/>
      <c r="T23" s="2"/>
      <c r="U23">
        <f>+C23-(C$7+F23*C$8)</f>
        <v>-2.7463438694685465</v>
      </c>
    </row>
    <row r="24" spans="1:21" x14ac:dyDescent="0.2">
      <c r="A24" t="str">
        <f>D10</f>
        <v>Quadratic</v>
      </c>
      <c r="C24" s="8">
        <f>C$7</f>
        <v>34928.464999999997</v>
      </c>
      <c r="D24" s="8" t="s">
        <v>15</v>
      </c>
      <c r="E24">
        <f t="shared" si="0"/>
        <v>0</v>
      </c>
      <c r="F24">
        <f t="shared" si="1"/>
        <v>0</v>
      </c>
      <c r="G24">
        <f>+C24-(C$7+F24*C$8)</f>
        <v>0</v>
      </c>
      <c r="H24">
        <f>+G24</f>
        <v>0</v>
      </c>
      <c r="O24">
        <f t="shared" ca="1" si="2"/>
        <v>-0.16370104222118934</v>
      </c>
      <c r="Q24" s="2">
        <f t="shared" si="3"/>
        <v>19909.964999999997</v>
      </c>
      <c r="R24" s="2"/>
      <c r="S24" s="2"/>
      <c r="T24" s="2"/>
    </row>
    <row r="25" spans="1:21" x14ac:dyDescent="0.2">
      <c r="A25" s="53" t="s">
        <v>58</v>
      </c>
      <c r="B25" s="55" t="s">
        <v>71</v>
      </c>
      <c r="C25" s="54">
        <v>35129.239000000001</v>
      </c>
      <c r="D25" s="54" t="s">
        <v>40</v>
      </c>
      <c r="E25">
        <f t="shared" si="0"/>
        <v>16.480706883156827</v>
      </c>
      <c r="F25">
        <f t="shared" si="1"/>
        <v>16.5</v>
      </c>
      <c r="G25">
        <f>+C25-(C$7+F25*C$8)</f>
        <v>-0.23503580693068216</v>
      </c>
      <c r="I25">
        <f>+G25</f>
        <v>-0.23503580693068216</v>
      </c>
      <c r="O25">
        <f t="shared" ca="1" si="2"/>
        <v>-0.16370104222120491</v>
      </c>
      <c r="Q25" s="2">
        <f t="shared" si="3"/>
        <v>20110.739000000001</v>
      </c>
      <c r="R25" s="2"/>
      <c r="S25" s="2"/>
      <c r="T25" s="2"/>
    </row>
    <row r="26" spans="1:21" x14ac:dyDescent="0.2">
      <c r="A26" s="56" t="s">
        <v>0</v>
      </c>
      <c r="B26" s="59" t="s">
        <v>71</v>
      </c>
      <c r="C26" s="57">
        <v>57989.523999999998</v>
      </c>
      <c r="D26" s="57">
        <v>8.6999999999999994E-3</v>
      </c>
      <c r="E26">
        <f t="shared" si="0"/>
        <v>1892.986909630612</v>
      </c>
      <c r="F26">
        <f t="shared" si="1"/>
        <v>1893</v>
      </c>
      <c r="G26">
        <f>+C26-(C$7+F26*C$8)</f>
        <v>-0.15947166842670413</v>
      </c>
      <c r="K26">
        <f>+G26</f>
        <v>-0.15947166842670413</v>
      </c>
      <c r="O26">
        <f t="shared" ca="1" si="2"/>
        <v>-0.16370104222297485</v>
      </c>
      <c r="Q26" s="2">
        <f t="shared" si="3"/>
        <v>42971.023999999998</v>
      </c>
      <c r="R26" s="2"/>
      <c r="S26" s="2"/>
      <c r="T26" s="2"/>
    </row>
    <row r="27" spans="1:21" x14ac:dyDescent="0.2">
      <c r="C27" s="8"/>
      <c r="D27" s="8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581" r:id="rId1" display="http://vsolj.cetus-net.org/bulletin.html"/>
    <hyperlink ref="H64574" r:id="rId2" display="https://www.aavso.org/ejaavso"/>
    <hyperlink ref="AP725" r:id="rId3" display="http://cdsbib.u-strasbg.fr/cgi-bin/cdsbib?1990RMxAA..21..381G"/>
    <hyperlink ref="AP729" r:id="rId4" display="http://cdsbib.u-strasbg.fr/cgi-bin/cdsbib?1990RMxAA..21..381G"/>
    <hyperlink ref="AP728" r:id="rId5" display="http://cdsbib.u-strasbg.fr/cgi-bin/cdsbib?1990RMxAA..21..381G"/>
    <hyperlink ref="AP709" r:id="rId6" display="http://cdsbib.u-strasbg.fr/cgi-bin/cdsbib?1990RMxAA..21..381G"/>
    <hyperlink ref="I64581" r:id="rId7" display="http://vsolj.cetus-net.org/bulletin.html"/>
    <hyperlink ref="AQ865" r:id="rId8" display="http://cdsbib.u-strasbg.fr/cgi-bin/cdsbib?1990RMxAA..21..381G"/>
    <hyperlink ref="AQ55631" r:id="rId9" display="http://cdsbib.u-strasbg.fr/cgi-bin/cdsbib?1990RMxAA..21..381G"/>
    <hyperlink ref="AQ866" r:id="rId10" display="http://cdsbib.u-strasbg.fr/cgi-bin/cdsbib?1990RMxAA..21..381G"/>
    <hyperlink ref="H64578" r:id="rId11" display="https://www.aavso.org/ejaavso"/>
    <hyperlink ref="H1751" r:id="rId12" display="http://vsolj.cetus-net.org/bulletin.html"/>
    <hyperlink ref="AP2995" r:id="rId13" display="http://cdsbib.u-strasbg.fr/cgi-bin/cdsbib?1990RMxAA..21..381G"/>
    <hyperlink ref="AP2998" r:id="rId14" display="http://cdsbib.u-strasbg.fr/cgi-bin/cdsbib?1990RMxAA..21..381G"/>
    <hyperlink ref="AP2996" r:id="rId15" display="http://cdsbib.u-strasbg.fr/cgi-bin/cdsbib?1990RMxAA..21..381G"/>
    <hyperlink ref="AP2980" r:id="rId16" display="http://cdsbib.u-strasbg.fr/cgi-bin/cdsbib?1990RMxAA..21..381G"/>
    <hyperlink ref="I1751" r:id="rId17" display="http://vsolj.cetus-net.org/bulletin.html"/>
    <hyperlink ref="AQ3209" r:id="rId18" display="http://cdsbib.u-strasbg.fr/cgi-bin/cdsbib?1990RMxAA..21..381G"/>
    <hyperlink ref="AQ65446" r:id="rId19" display="http://cdsbib.u-strasbg.fr/cgi-bin/cdsbib?1990RMxAA..21..381G"/>
    <hyperlink ref="AQ321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4"/>
  <sheetViews>
    <sheetView workbookViewId="0">
      <selection activeCell="A12" sqref="A12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>P11</f>
        <v> RIA 8.290 </v>
      </c>
      <c r="B11" s="3" t="str">
        <f>IF(H11=INT(H11),"I","II")</f>
        <v>I</v>
      </c>
      <c r="C11" s="8">
        <f>1*G11</f>
        <v>34928.464999999997</v>
      </c>
      <c r="D11" s="10" t="str">
        <f>VLOOKUP(F11,I$1:J$5,2,FALSE)</f>
        <v>vis</v>
      </c>
      <c r="E11" s="44">
        <f>VLOOKUP(C11,'Active 1'!C$21:E$973,3,FALSE)</f>
        <v>0</v>
      </c>
      <c r="F11" s="3" t="s">
        <v>49</v>
      </c>
      <c r="G11" s="10" t="str">
        <f>MID(I11,3,LEN(I11)-3)</f>
        <v>34928.465</v>
      </c>
      <c r="H11" s="8">
        <f>1*K11</f>
        <v>1864</v>
      </c>
      <c r="I11" s="45" t="s">
        <v>65</v>
      </c>
      <c r="J11" s="46" t="s">
        <v>66</v>
      </c>
      <c r="K11" s="45">
        <v>1864</v>
      </c>
      <c r="L11" s="45" t="s">
        <v>67</v>
      </c>
      <c r="M11" s="46" t="s">
        <v>56</v>
      </c>
      <c r="N11" s="46"/>
      <c r="O11" s="47" t="s">
        <v>57</v>
      </c>
      <c r="P11" s="47" t="s">
        <v>58</v>
      </c>
    </row>
    <row r="12" spans="1:16" ht="12.75" customHeight="1" thickBot="1" x14ac:dyDescent="0.25">
      <c r="A12" s="8" t="str">
        <f>P12</f>
        <v> RIA 8.290 </v>
      </c>
      <c r="B12" s="3" t="str">
        <f>IF(H12=INT(H12),"I","II")</f>
        <v>I</v>
      </c>
      <c r="C12" s="8">
        <f>1*G12</f>
        <v>33064.529000000002</v>
      </c>
      <c r="D12" s="10" t="str">
        <f>VLOOKUP(F12,I$1:J$5,2,FALSE)</f>
        <v>vis</v>
      </c>
      <c r="E12" s="44">
        <f>VLOOKUP(C12,'Active 1'!C$21:E$973,3,FALSE)</f>
        <v>-153.00279351391595</v>
      </c>
      <c r="F12" s="3" t="s">
        <v>49</v>
      </c>
      <c r="G12" s="10" t="str">
        <f>MID(I12,3,LEN(I12)-3)</f>
        <v>33064.529</v>
      </c>
      <c r="H12" s="8">
        <f>1*K12</f>
        <v>0</v>
      </c>
      <c r="I12" s="45" t="s">
        <v>53</v>
      </c>
      <c r="J12" s="46" t="s">
        <v>54</v>
      </c>
      <c r="K12" s="45">
        <v>0</v>
      </c>
      <c r="L12" s="45" t="s">
        <v>55</v>
      </c>
      <c r="M12" s="46" t="s">
        <v>56</v>
      </c>
      <c r="N12" s="46"/>
      <c r="O12" s="47" t="s">
        <v>57</v>
      </c>
      <c r="P12" s="47" t="s">
        <v>58</v>
      </c>
    </row>
    <row r="13" spans="1:16" ht="12.75" customHeight="1" thickBot="1" x14ac:dyDescent="0.25">
      <c r="A13" s="8" t="str">
        <f>P13</f>
        <v> RIA 8.290 </v>
      </c>
      <c r="B13" s="3" t="str">
        <f>IF(H13=INT(H13),"I","II")</f>
        <v>I</v>
      </c>
      <c r="C13" s="8">
        <f>1*G13</f>
        <v>34227.589</v>
      </c>
      <c r="D13" s="10" t="str">
        <f>VLOOKUP(F13,I$1:J$5,2,FALSE)</f>
        <v>vis</v>
      </c>
      <c r="E13" s="44">
        <f>VLOOKUP(C13,'Active 1'!C$21:E$973,3,FALSE)</f>
        <v>-57.532010705764129</v>
      </c>
      <c r="F13" s="3" t="s">
        <v>49</v>
      </c>
      <c r="G13" s="10" t="str">
        <f>MID(I13,3,LEN(I13)-3)</f>
        <v>34227.589</v>
      </c>
      <c r="H13" s="8">
        <f>1*K13</f>
        <v>1163</v>
      </c>
      <c r="I13" s="45" t="s">
        <v>59</v>
      </c>
      <c r="J13" s="46" t="s">
        <v>60</v>
      </c>
      <c r="K13" s="45">
        <v>1163</v>
      </c>
      <c r="L13" s="45" t="s">
        <v>61</v>
      </c>
      <c r="M13" s="46" t="s">
        <v>56</v>
      </c>
      <c r="N13" s="46"/>
      <c r="O13" s="47" t="s">
        <v>57</v>
      </c>
      <c r="P13" s="47" t="s">
        <v>58</v>
      </c>
    </row>
    <row r="14" spans="1:16" ht="12.75" customHeight="1" thickBot="1" x14ac:dyDescent="0.25">
      <c r="A14" s="8" t="str">
        <f>P14</f>
        <v> RIA 8.290 </v>
      </c>
      <c r="B14" s="3" t="str">
        <f>IF(H14=INT(H14),"I","II")</f>
        <v>I</v>
      </c>
      <c r="C14" s="8">
        <f>1*G14</f>
        <v>34304.417999999998</v>
      </c>
      <c r="D14" s="10" t="str">
        <f>VLOOKUP(F14,I$1:J$5,2,FALSE)</f>
        <v>vis</v>
      </c>
      <c r="E14" s="44">
        <f>VLOOKUP(C14,'Active 1'!C$21:E$973,3,FALSE)</f>
        <v>-51.225436004229117</v>
      </c>
      <c r="F14" s="3" t="s">
        <v>49</v>
      </c>
      <c r="G14" s="10" t="str">
        <f>MID(I14,3,LEN(I14)-3)</f>
        <v>34304.418</v>
      </c>
      <c r="H14" s="8">
        <f>1*K14</f>
        <v>1240</v>
      </c>
      <c r="I14" s="45" t="s">
        <v>62</v>
      </c>
      <c r="J14" s="46" t="s">
        <v>63</v>
      </c>
      <c r="K14" s="45">
        <v>1240</v>
      </c>
      <c r="L14" s="45" t="s">
        <v>64</v>
      </c>
      <c r="M14" s="46" t="s">
        <v>56</v>
      </c>
      <c r="N14" s="46"/>
      <c r="O14" s="47" t="s">
        <v>57</v>
      </c>
      <c r="P14" s="47" t="s">
        <v>58</v>
      </c>
    </row>
    <row r="15" spans="1:16" ht="12.75" customHeight="1" thickBot="1" x14ac:dyDescent="0.25">
      <c r="A15" s="8" t="str">
        <f>P15</f>
        <v> RIA 8.290 </v>
      </c>
      <c r="B15" s="3" t="str">
        <f>IF(H15=INT(H15),"I","II")</f>
        <v>I</v>
      </c>
      <c r="C15" s="8">
        <f>1*G15</f>
        <v>35129.239000000001</v>
      </c>
      <c r="D15" s="10" t="str">
        <f>VLOOKUP(F15,I$1:J$5,2,FALSE)</f>
        <v>vis</v>
      </c>
      <c r="E15" s="44">
        <f>VLOOKUP(C15,'Active 1'!C$21:E$973,3,FALSE)</f>
        <v>16.480706883156827</v>
      </c>
      <c r="F15" s="3" t="s">
        <v>49</v>
      </c>
      <c r="G15" s="10" t="str">
        <f>MID(I15,3,LEN(I15)-3)</f>
        <v>35129.239</v>
      </c>
      <c r="H15" s="8">
        <f>1*K15</f>
        <v>2065</v>
      </c>
      <c r="I15" s="45" t="s">
        <v>68</v>
      </c>
      <c r="J15" s="46" t="s">
        <v>69</v>
      </c>
      <c r="K15" s="45">
        <v>2065</v>
      </c>
      <c r="L15" s="45" t="s">
        <v>70</v>
      </c>
      <c r="M15" s="46" t="s">
        <v>56</v>
      </c>
      <c r="N15" s="46"/>
      <c r="O15" s="47" t="s">
        <v>57</v>
      </c>
      <c r="P15" s="47" t="s">
        <v>58</v>
      </c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2</vt:lpstr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2024-02-04T04:40:30Z</dcterms:modified>
</cp:coreProperties>
</file>