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5349730-8E50-46B0-91AA-D1DC4E2D87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7" i="1" l="1"/>
  <c r="E36" i="1"/>
  <c r="F36" i="1" s="1"/>
  <c r="G36" i="1" s="1"/>
  <c r="I36" i="1" s="1"/>
  <c r="E38" i="1"/>
  <c r="F38" i="1" s="1"/>
  <c r="G38" i="1" s="1"/>
  <c r="K38" i="1" s="1"/>
  <c r="Q43" i="1"/>
  <c r="C7" i="1"/>
  <c r="E40" i="1" s="1"/>
  <c r="E47" i="1"/>
  <c r="F47" i="1" s="1"/>
  <c r="G47" i="1" s="1"/>
  <c r="K47" i="1" s="1"/>
  <c r="C8" i="1"/>
  <c r="D9" i="1"/>
  <c r="C9" i="1"/>
  <c r="E23" i="1"/>
  <c r="F23" i="1"/>
  <c r="E25" i="1"/>
  <c r="F25" i="1"/>
  <c r="E26" i="1"/>
  <c r="F26" i="1"/>
  <c r="G26" i="1" s="1"/>
  <c r="K26" i="1" s="1"/>
  <c r="E30" i="1"/>
  <c r="F30" i="1" s="1"/>
  <c r="G30" i="1" s="1"/>
  <c r="K30" i="1" s="1"/>
  <c r="E34" i="1"/>
  <c r="F34" i="1" s="1"/>
  <c r="G34" i="1" s="1"/>
  <c r="K34" i="1" s="1"/>
  <c r="E44" i="1"/>
  <c r="F44" i="1" s="1"/>
  <c r="G44" i="1" s="1"/>
  <c r="J44" i="1" s="1"/>
  <c r="E46" i="1"/>
  <c r="F46" i="1" s="1"/>
  <c r="E29" i="1"/>
  <c r="E17" i="2" s="1"/>
  <c r="F29" i="1"/>
  <c r="G29" i="1" s="1"/>
  <c r="K29" i="1" s="1"/>
  <c r="Q42" i="1"/>
  <c r="Q40" i="1"/>
  <c r="Q39" i="1"/>
  <c r="Q37" i="1"/>
  <c r="Q36" i="1"/>
  <c r="Q33" i="1"/>
  <c r="G26" i="2"/>
  <c r="C26" i="2"/>
  <c r="E26" i="2"/>
  <c r="G25" i="2"/>
  <c r="C25" i="2"/>
  <c r="G24" i="2"/>
  <c r="C24" i="2"/>
  <c r="G34" i="2"/>
  <c r="C34" i="2"/>
  <c r="G33" i="2"/>
  <c r="C33" i="2"/>
  <c r="G23" i="2"/>
  <c r="C23" i="2"/>
  <c r="G32" i="2"/>
  <c r="C32" i="2"/>
  <c r="G31" i="2"/>
  <c r="C31" i="2"/>
  <c r="G30" i="2"/>
  <c r="C30" i="2"/>
  <c r="E30" i="2"/>
  <c r="G29" i="2"/>
  <c r="C29" i="2"/>
  <c r="G28" i="2"/>
  <c r="C28" i="2"/>
  <c r="G22" i="2"/>
  <c r="C22" i="2"/>
  <c r="G21" i="2"/>
  <c r="C21" i="2"/>
  <c r="E21" i="2"/>
  <c r="G27" i="2"/>
  <c r="C27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E14" i="2"/>
  <c r="G13" i="2"/>
  <c r="C13" i="2"/>
  <c r="E13" i="2"/>
  <c r="G12" i="2"/>
  <c r="C12" i="2"/>
  <c r="G11" i="2"/>
  <c r="C11" i="2"/>
  <c r="E11" i="2"/>
  <c r="H26" i="2"/>
  <c r="B26" i="2"/>
  <c r="D26" i="2"/>
  <c r="A26" i="2"/>
  <c r="H25" i="2"/>
  <c r="B25" i="2"/>
  <c r="D25" i="2"/>
  <c r="A25" i="2"/>
  <c r="H24" i="2"/>
  <c r="B24" i="2"/>
  <c r="D24" i="2"/>
  <c r="A24" i="2"/>
  <c r="H34" i="2"/>
  <c r="B34" i="2"/>
  <c r="D34" i="2"/>
  <c r="A34" i="2"/>
  <c r="H33" i="2"/>
  <c r="B33" i="2"/>
  <c r="D33" i="2"/>
  <c r="A33" i="2"/>
  <c r="H23" i="2"/>
  <c r="B23" i="2"/>
  <c r="D23" i="2"/>
  <c r="A2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2" i="2"/>
  <c r="B22" i="2"/>
  <c r="D22" i="2"/>
  <c r="A22" i="2"/>
  <c r="H21" i="2"/>
  <c r="B21" i="2"/>
  <c r="D21" i="2"/>
  <c r="A21" i="2"/>
  <c r="H27" i="2"/>
  <c r="B27" i="2"/>
  <c r="D27" i="2"/>
  <c r="A2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41" i="1"/>
  <c r="Q46" i="1"/>
  <c r="Q45" i="1"/>
  <c r="Q44" i="1"/>
  <c r="Q29" i="1"/>
  <c r="Q31" i="1"/>
  <c r="Q38" i="1"/>
  <c r="F17" i="1"/>
  <c r="C17" i="1"/>
  <c r="Q35" i="1"/>
  <c r="Q34" i="1"/>
  <c r="Q26" i="1"/>
  <c r="Q23" i="1"/>
  <c r="Q24" i="1"/>
  <c r="Q25" i="1"/>
  <c r="Q30" i="1"/>
  <c r="Q32" i="1"/>
  <c r="Q27" i="1"/>
  <c r="Q28" i="1"/>
  <c r="Q22" i="1"/>
  <c r="Q21" i="1"/>
  <c r="E20" i="2"/>
  <c r="E31" i="1"/>
  <c r="E19" i="2" s="1"/>
  <c r="E32" i="1"/>
  <c r="F32" i="1"/>
  <c r="G32" i="1" s="1"/>
  <c r="K32" i="1" s="1"/>
  <c r="E21" i="1"/>
  <c r="F21" i="1"/>
  <c r="G21" i="1"/>
  <c r="H21" i="1" s="1"/>
  <c r="E42" i="1"/>
  <c r="F42" i="1" s="1"/>
  <c r="G42" i="1" s="1"/>
  <c r="I42" i="1" s="1"/>
  <c r="E45" i="1"/>
  <c r="F45" i="1" s="1"/>
  <c r="G45" i="1" s="1"/>
  <c r="J45" i="1" s="1"/>
  <c r="E27" i="1"/>
  <c r="E15" i="2" s="1"/>
  <c r="F27" i="1"/>
  <c r="G27" i="1"/>
  <c r="K27" i="1" s="1"/>
  <c r="E37" i="1"/>
  <c r="E29" i="2" s="1"/>
  <c r="F37" i="1"/>
  <c r="G37" i="1"/>
  <c r="I37" i="1" s="1"/>
  <c r="E35" i="1"/>
  <c r="F35" i="1" s="1"/>
  <c r="G35" i="1" s="1"/>
  <c r="J35" i="1" s="1"/>
  <c r="E24" i="1"/>
  <c r="E12" i="2" s="1"/>
  <c r="F24" i="1"/>
  <c r="G24" i="1"/>
  <c r="K24" i="1" s="1"/>
  <c r="F31" i="1"/>
  <c r="G31" i="1" s="1"/>
  <c r="K31" i="1" s="1"/>
  <c r="E32" i="2" l="1"/>
  <c r="F40" i="1"/>
  <c r="G40" i="1" s="1"/>
  <c r="I40" i="1" s="1"/>
  <c r="E25" i="2"/>
  <c r="G25" i="1"/>
  <c r="K25" i="1" s="1"/>
  <c r="E22" i="1"/>
  <c r="F22" i="1" s="1"/>
  <c r="G22" i="1" s="1"/>
  <c r="E39" i="1"/>
  <c r="E24" i="2"/>
  <c r="E33" i="1"/>
  <c r="E33" i="2"/>
  <c r="G46" i="1"/>
  <c r="J46" i="1" s="1"/>
  <c r="E41" i="1"/>
  <c r="E43" i="1"/>
  <c r="E22" i="2"/>
  <c r="E28" i="2"/>
  <c r="E28" i="1"/>
  <c r="G23" i="1"/>
  <c r="K23" i="1" s="1"/>
  <c r="F28" i="1" l="1"/>
  <c r="G28" i="1" s="1"/>
  <c r="E16" i="2"/>
  <c r="I22" i="1"/>
  <c r="E34" i="2"/>
  <c r="F43" i="1"/>
  <c r="G43" i="1" s="1"/>
  <c r="I43" i="1" s="1"/>
  <c r="E27" i="2"/>
  <c r="F33" i="1"/>
  <c r="G33" i="1" s="1"/>
  <c r="I33" i="1" s="1"/>
  <c r="F39" i="1"/>
  <c r="G39" i="1" s="1"/>
  <c r="I39" i="1" s="1"/>
  <c r="E31" i="2"/>
  <c r="E23" i="2"/>
  <c r="F41" i="1"/>
  <c r="G41" i="1" s="1"/>
  <c r="J41" i="1" s="1"/>
  <c r="C12" i="1"/>
  <c r="C11" i="1"/>
  <c r="O42" i="1" l="1"/>
  <c r="O44" i="1"/>
  <c r="O38" i="1"/>
  <c r="O32" i="1"/>
  <c r="O46" i="1"/>
  <c r="O25" i="1"/>
  <c r="O27" i="1"/>
  <c r="O35" i="1"/>
  <c r="O26" i="1"/>
  <c r="O24" i="1"/>
  <c r="O21" i="1"/>
  <c r="O45" i="1"/>
  <c r="O30" i="1"/>
  <c r="O22" i="1"/>
  <c r="O41" i="1"/>
  <c r="O43" i="1"/>
  <c r="O34" i="1"/>
  <c r="O33" i="1"/>
  <c r="C15" i="1"/>
  <c r="O23" i="1"/>
  <c r="O36" i="1"/>
  <c r="O39" i="1"/>
  <c r="O29" i="1"/>
  <c r="O37" i="1"/>
  <c r="O28" i="1"/>
  <c r="O40" i="1"/>
  <c r="O47" i="1"/>
  <c r="O31" i="1"/>
  <c r="C16" i="1"/>
  <c r="D18" i="1" s="1"/>
  <c r="K28" i="1"/>
  <c r="F18" i="1" l="1"/>
  <c r="F19" i="1" s="1"/>
  <c r="C18" i="1"/>
</calcChain>
</file>

<file path=xl/sharedStrings.xml><?xml version="1.0" encoding="utf-8"?>
<sst xmlns="http://schemas.openxmlformats.org/spreadsheetml/2006/main" count="314" uniqueCount="186">
  <si>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</si>
  <si>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</si>
  <si>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</si>
  <si>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</si>
  <si>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</si>
  <si>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</si>
  <si>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</si>
  <si>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</si>
  <si>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</si>
  <si>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</si>
  <si>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</si>
  <si>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</si>
  <si>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</si>
  <si>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</si>
  <si>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</si>
  <si>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</si>
  <si>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</si>
  <si>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</si>
  <si>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</si>
  <si>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</si>
  <si>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</si>
  <si>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</si>
  <si>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</si>
  <si>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</si>
  <si>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</si>
  <si>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</si>
  <si>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</si>
  <si>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</si>
  <si>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</si>
  <si>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</si>
  <si>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Bull.90</t>
  </si>
  <si>
    <t>B</t>
  </si>
  <si>
    <t>IBVS 5263</t>
  </si>
  <si>
    <t>I</t>
  </si>
  <si>
    <t>IBVS 5287</t>
  </si>
  <si>
    <t>IBVS 4887</t>
  </si>
  <si>
    <t>IBVS 4888</t>
  </si>
  <si>
    <t>IBVS 5583</t>
  </si>
  <si>
    <t>EA/SD</t>
  </si>
  <si>
    <t>IBVS 5643</t>
  </si>
  <si>
    <t># of data points:</t>
  </si>
  <si>
    <t>22 01 20.87 +47 36 04.6</t>
  </si>
  <si>
    <t>V1414 Cyg / na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</si>
  <si>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</si>
  <si>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</si>
  <si>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</si>
  <si>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</si>
  <si>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</si>
  <si>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</si>
  <si>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</si>
  <si>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II</t>
  </si>
  <si>
    <t>CCD</t>
  </si>
  <si>
    <t>OEJV 0107</t>
  </si>
  <si>
    <t>IBVS 6118</t>
  </si>
  <si>
    <t>IBVS 5984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</si>
  <si>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</si>
  <si>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</si>
  <si>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</si>
  <si>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</si>
  <si>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</si>
  <si>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</si>
  <si>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</si>
  <si>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</si>
  <si>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</si>
  <si>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</si>
  <si>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</si>
  <si>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2450667.4503 </t>
  </si>
  <si>
    <t> 06.08.1997 22:48 </t>
  </si>
  <si>
    <t> 0.0396 </t>
  </si>
  <si>
    <t>E </t>
  </si>
  <si>
    <t>?</t>
  </si>
  <si>
    <t> Zejda&amp;Safar </t>
  </si>
  <si>
    <t>IBVS 4887 </t>
  </si>
  <si>
    <t>2450686.4315 </t>
  </si>
  <si>
    <t> 25.08.1997 22:21 </t>
  </si>
  <si>
    <t> 0.0364 </t>
  </si>
  <si>
    <t> J.Safar </t>
  </si>
  <si>
    <t>2450693.4663 </t>
  </si>
  <si>
    <t> 01.09.1997 23:11 </t>
  </si>
  <si>
    <t> 0.0400 </t>
  </si>
  <si>
    <t>2451120.2623 </t>
  </si>
  <si>
    <t> 02.11.1998 18:17 </t>
  </si>
  <si>
    <t> 0.0385 </t>
  </si>
  <si>
    <t>IBVS 4888 </t>
  </si>
  <si>
    <t>2451375.4989 </t>
  </si>
  <si>
    <t> 15.07.1999 23:58 </t>
  </si>
  <si>
    <t> 0.0404 </t>
  </si>
  <si>
    <t>IBVS 5263 </t>
  </si>
  <si>
    <t>2451449.3226 </t>
  </si>
  <si>
    <t> 27.09.1999 19:44 </t>
  </si>
  <si>
    <t> 0.0358 </t>
  </si>
  <si>
    <t>2451766.42890 </t>
  </si>
  <si>
    <t> 09.08.2000 22:17 </t>
  </si>
  <si>
    <t> 0.03231 </t>
  </si>
  <si>
    <t>C </t>
  </si>
  <si>
    <t>o</t>
  </si>
  <si>
    <t> K.Koss </t>
  </si>
  <si>
    <t>OEJV 0074 </t>
  </si>
  <si>
    <t>2451778.3919 </t>
  </si>
  <si>
    <t> 21.08.2000 21:24 </t>
  </si>
  <si>
    <t> 0.0422 </t>
  </si>
  <si>
    <t> M.Zejda </t>
  </si>
  <si>
    <t>IBVS 5287 </t>
  </si>
  <si>
    <t>2451780.50145 </t>
  </si>
  <si>
    <t> 24.08.2000 00:02 </t>
  </si>
  <si>
    <t> 0.04234 </t>
  </si>
  <si>
    <t> J.Šafár </t>
  </si>
  <si>
    <t>2451799.4907 </t>
  </si>
  <si>
    <t> 11.09.2000 23:46 </t>
  </si>
  <si>
    <t> 0.0472 </t>
  </si>
  <si>
    <t>2452100.417 </t>
  </si>
  <si>
    <t> 09.07.2001 22:00 </t>
  </si>
  <si>
    <t> 0.036 </t>
  </si>
  <si>
    <t> E.Blättler </t>
  </si>
  <si>
    <t> BBS 126 </t>
  </si>
  <si>
    <t>2452815.5023 </t>
  </si>
  <si>
    <t> 25.06.2003 00:03 </t>
  </si>
  <si>
    <t> 0.0417 </t>
  </si>
  <si>
    <t>IBVS 5583 </t>
  </si>
  <si>
    <t>2452886.5111 </t>
  </si>
  <si>
    <t> 04.09.2003 00:15 </t>
  </si>
  <si>
    <t> 0.0348 </t>
  </si>
  <si>
    <t>-I</t>
  </si>
  <si>
    <t> F.Agerer </t>
  </si>
  <si>
    <t>BAVM 172 </t>
  </si>
  <si>
    <t>2453246.5197 </t>
  </si>
  <si>
    <t> 29.08.2004 00:28 </t>
  </si>
  <si>
    <t>34324</t>
  </si>
  <si>
    <t> 0.0429 </t>
  </si>
  <si>
    <t> M. Zejda et al. </t>
  </si>
  <si>
    <t>IBVS 5741 </t>
  </si>
  <si>
    <t>2454312.4600 </t>
  </si>
  <si>
    <t> 30.07.2007 23:02 </t>
  </si>
  <si>
    <t>35840</t>
  </si>
  <si>
    <t> 0.0442 </t>
  </si>
  <si>
    <t>BAVM 193 </t>
  </si>
  <si>
    <t>2454319.4915 </t>
  </si>
  <si>
    <t> 06.08.2007 23:47 </t>
  </si>
  <si>
    <t>35850</t>
  </si>
  <si>
    <t> 0.0444 </t>
  </si>
  <si>
    <t>R</t>
  </si>
  <si>
    <t> M.Lehky </t>
  </si>
  <si>
    <t>OEJV 0107 </t>
  </si>
  <si>
    <t>2454658.3999 </t>
  </si>
  <si>
    <t> 10.07.2008 21:35 </t>
  </si>
  <si>
    <t>36332</t>
  </si>
  <si>
    <t> 0.0461 </t>
  </si>
  <si>
    <t>BAVM 203 </t>
  </si>
  <si>
    <t>2455032.4628 </t>
  </si>
  <si>
    <t> 19.07.2009 23:06 </t>
  </si>
  <si>
    <t>36864</t>
  </si>
  <si>
    <t> 0.0459 </t>
  </si>
  <si>
    <t>BAVM 212 </t>
  </si>
  <si>
    <t>2455482.4656 </t>
  </si>
  <si>
    <t> 12.10.2010 23:10 </t>
  </si>
  <si>
    <t>37504</t>
  </si>
  <si>
    <t> 0.0481 </t>
  </si>
  <si>
    <t>BAVM 215 </t>
  </si>
  <si>
    <t>2455799.5736 </t>
  </si>
  <si>
    <t> 26.08.2011 01:45 </t>
  </si>
  <si>
    <t>37955</t>
  </si>
  <si>
    <t> 0.0463 </t>
  </si>
  <si>
    <t>BAVM 225 </t>
  </si>
  <si>
    <t>2455853.7180 </t>
  </si>
  <si>
    <t> 19.10.2011 05:13 </t>
  </si>
  <si>
    <t>38032</t>
  </si>
  <si>
    <t> 0.0500 </t>
  </si>
  <si>
    <t> R.Diethelm </t>
  </si>
  <si>
    <t>IBVS 6011 </t>
  </si>
  <si>
    <t>2456505.5148 </t>
  </si>
  <si>
    <t> 01.08.2013 00:21 </t>
  </si>
  <si>
    <t>38959</t>
  </si>
  <si>
    <t> 0.0490 </t>
  </si>
  <si>
    <t>BAVM 234 </t>
  </si>
  <si>
    <t>2456588.4827 </t>
  </si>
  <si>
    <t> 22.10.2013 23:35 </t>
  </si>
  <si>
    <t>39077</t>
  </si>
  <si>
    <t> 0.0480 </t>
  </si>
  <si>
    <t>2456891.5307 </t>
  </si>
  <si>
    <t> 22.08.2014 00:44 </t>
  </si>
  <si>
    <t>39508</t>
  </si>
  <si>
    <t> 0.0487 </t>
  </si>
  <si>
    <t>BAVM 238 </t>
  </si>
  <si>
    <t>BAD?</t>
  </si>
  <si>
    <t>IBVS 5741</t>
  </si>
  <si>
    <t>IBVS 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</si>
</sst>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V1414 Cyg - O-C Diagr.</a:t>
            </a:r>
          </a:p>
        </c:rich>
      </c:tx>
      <c:layout>
        <c:manualLayout>
          <c:xMode val="edge"/>
          <c:yMode val="edge"/>
          <c:x val="0.3691176470588235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8235294117648"/>
          <c:y val="0.14769252958613219"/>
          <c:w val="0.8249999999999999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8-46B5-8A73-3788C1176D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2.7603999995335471E-2</c:v>
                </c:pt>
                <c:pt idx="12">
                  <c:v>3.5556000002543442E-2</c:v>
                </c:pt>
                <c:pt idx="15">
                  <c:v>4.2875999999523629E-2</c:v>
                </c:pt>
                <c:pt idx="16">
                  <c:v>4.4159999997646082E-2</c:v>
                </c:pt>
                <c:pt idx="18">
                  <c:v>4.6067999996012077E-2</c:v>
                </c:pt>
                <c:pt idx="19">
                  <c:v>4.593600000225706E-2</c:v>
                </c:pt>
                <c:pt idx="21">
                  <c:v>4.6270000006188639E-2</c:v>
                </c:pt>
                <c:pt idx="22">
                  <c:v>4.9967999999353196E-2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8-46B5-8A73-3788C1176D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4">
                  <c:v>3.4788000004482456E-2</c:v>
                </c:pt>
                <c:pt idx="20">
                  <c:v>4.8096000005898532E-2</c:v>
                </c:pt>
                <c:pt idx="23">
                  <c:v>4.8965999994834419E-2</c:v>
                </c:pt>
                <c:pt idx="24">
                  <c:v>4.7998000001825858E-2</c:v>
                </c:pt>
                <c:pt idx="25">
                  <c:v>4.8691999996663071E-2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8-46B5-8A73-3788C1176D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">
                  <c:v>3.964399998949375E-2</c:v>
                </c:pt>
                <c:pt idx="3">
                  <c:v>3.6441999996895902E-2</c:v>
                </c:pt>
                <c:pt idx="4">
                  <c:v>3.9982000002055429E-2</c:v>
                </c:pt>
                <c:pt idx="5">
                  <c:v>3.8499999995110556E-2</c:v>
                </c:pt>
                <c:pt idx="6">
                  <c:v>4.0361999992455821E-2</c:v>
                </c:pt>
                <c:pt idx="7">
                  <c:v>3.5831999994115904E-2</c:v>
                </c:pt>
                <c:pt idx="8">
                  <c:v>3.2305999993695877E-2</c:v>
                </c:pt>
                <c:pt idx="9">
                  <c:v>4.2163999998592772E-2</c:v>
                </c:pt>
                <c:pt idx="10">
                  <c:v>4.2336000005889218E-2</c:v>
                </c:pt>
                <c:pt idx="11">
                  <c:v>4.7184000002744142E-2</c:v>
                </c:pt>
                <c:pt idx="13">
                  <c:v>4.1713999999046791E-2</c:v>
                </c:pt>
                <c:pt idx="17">
                  <c:v>4.4439999997848645E-2</c:v>
                </c:pt>
                <c:pt idx="26">
                  <c:v>5.0909999998111743E-2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8-46B5-8A73-3788C1176D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8-46B5-8A73-3788C1176D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8-46B5-8A73-3788C1176D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5.5999999999999999E-3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2.2000000000000001E-3</c:v>
                  </c:pt>
                  <c:pt idx="6">
                    <c:v>1E-3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2.8E-3</c:v>
                  </c:pt>
                  <c:pt idx="11">
                    <c:v>4.7999999999999996E-3</c:v>
                  </c:pt>
                  <c:pt idx="12">
                    <c:v>0</c:v>
                  </c:pt>
                  <c:pt idx="13">
                    <c:v>5.7000000000000002E-3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7.3000000000000001E-3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2.2000000000000001E-3</c:v>
                  </c:pt>
                  <c:pt idx="24">
                    <c:v>4.7000000000000002E-3</c:v>
                  </c:pt>
                  <c:pt idx="25">
                    <c:v>2.2000000000000001E-3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8-46B5-8A73-3788C1176D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-1.4777265481472762E-3</c:v>
                </c:pt>
                <c:pt idx="1">
                  <c:v>3.1869485085900963E-2</c:v>
                </c:pt>
                <c:pt idx="2">
                  <c:v>3.7621643139506014E-2</c:v>
                </c:pt>
                <c:pt idx="3">
                  <c:v>3.7656079562443337E-2</c:v>
                </c:pt>
                <c:pt idx="4">
                  <c:v>3.7668833793160869E-2</c:v>
                </c:pt>
                <c:pt idx="5">
                  <c:v>3.8443015597714805E-2</c:v>
                </c:pt>
                <c:pt idx="6">
                  <c:v>3.8905994172761062E-2</c:v>
                </c:pt>
                <c:pt idx="7">
                  <c:v>3.9039913595295107E-2</c:v>
                </c:pt>
                <c:pt idx="8">
                  <c:v>3.9615129400655612E-2</c:v>
                </c:pt>
                <c:pt idx="9">
                  <c:v>3.9636811592875409E-2</c:v>
                </c:pt>
                <c:pt idx="10">
                  <c:v>3.9640637862090669E-2</c:v>
                </c:pt>
                <c:pt idx="11">
                  <c:v>3.9675074285027992E-2</c:v>
                </c:pt>
                <c:pt idx="12">
                  <c:v>4.0220955359738186E-2</c:v>
                </c:pt>
                <c:pt idx="13">
                  <c:v>4.1518060623710766E-2</c:v>
                </c:pt>
                <c:pt idx="14">
                  <c:v>4.1646878353957792E-2</c:v>
                </c:pt>
                <c:pt idx="15">
                  <c:v>4.2299894966695221E-2</c:v>
                </c:pt>
                <c:pt idx="16">
                  <c:v>4.4233436343472439E-2</c:v>
                </c:pt>
                <c:pt idx="17">
                  <c:v>4.4246190574189964E-2</c:v>
                </c:pt>
                <c:pt idx="18">
                  <c:v>4.4860944494774804E-2</c:v>
                </c:pt>
                <c:pt idx="19">
                  <c:v>4.5539469568947284E-2</c:v>
                </c:pt>
                <c:pt idx="20">
                  <c:v>4.6355740334869062E-2</c:v>
                </c:pt>
                <c:pt idx="21">
                  <c:v>4.6930956140229574E-2</c:v>
                </c:pt>
                <c:pt idx="22">
                  <c:v>4.7029163716754536E-2</c:v>
                </c:pt>
                <c:pt idx="23">
                  <c:v>4.8211480904269362E-2</c:v>
                </c:pt>
                <c:pt idx="24">
                  <c:v>4.8361980826736192E-2</c:v>
                </c:pt>
                <c:pt idx="25">
                  <c:v>4.8911688170661639E-2</c:v>
                </c:pt>
                <c:pt idx="26">
                  <c:v>5.0132268050329054E-2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8-46B5-8A73-3788C1176D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26146</c:v>
                </c:pt>
                <c:pt idx="2">
                  <c:v>30656</c:v>
                </c:pt>
                <c:pt idx="3">
                  <c:v>30683</c:v>
                </c:pt>
                <c:pt idx="4">
                  <c:v>30693</c:v>
                </c:pt>
                <c:pt idx="5">
                  <c:v>31300</c:v>
                </c:pt>
                <c:pt idx="6">
                  <c:v>31663</c:v>
                </c:pt>
                <c:pt idx="7">
                  <c:v>31768</c:v>
                </c:pt>
                <c:pt idx="8">
                  <c:v>32219</c:v>
                </c:pt>
                <c:pt idx="9">
                  <c:v>32236</c:v>
                </c:pt>
                <c:pt idx="10">
                  <c:v>32239</c:v>
                </c:pt>
                <c:pt idx="11">
                  <c:v>32266</c:v>
                </c:pt>
                <c:pt idx="12">
                  <c:v>32694</c:v>
                </c:pt>
                <c:pt idx="13">
                  <c:v>33711</c:v>
                </c:pt>
                <c:pt idx="14">
                  <c:v>33812</c:v>
                </c:pt>
                <c:pt idx="15">
                  <c:v>34324</c:v>
                </c:pt>
                <c:pt idx="16">
                  <c:v>35840</c:v>
                </c:pt>
                <c:pt idx="17">
                  <c:v>35850</c:v>
                </c:pt>
                <c:pt idx="18">
                  <c:v>36332</c:v>
                </c:pt>
                <c:pt idx="19">
                  <c:v>36864</c:v>
                </c:pt>
                <c:pt idx="20">
                  <c:v>37504</c:v>
                </c:pt>
                <c:pt idx="21">
                  <c:v>37955</c:v>
                </c:pt>
                <c:pt idx="22">
                  <c:v>38032</c:v>
                </c:pt>
                <c:pt idx="23">
                  <c:v>38959</c:v>
                </c:pt>
                <c:pt idx="24">
                  <c:v>39077</c:v>
                </c:pt>
                <c:pt idx="25">
                  <c:v>39508</c:v>
                </c:pt>
                <c:pt idx="26">
                  <c:v>40465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38-46B5-8A73-3788C117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78288"/>
        <c:axId val="1"/>
      </c:scatterChart>
      <c:valAx>
        <c:axId val="73647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0000000000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941176470588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7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5882352941176"/>
          <c:y val="0.92000129214617399"/>
          <c:w val="0.707352941176470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352425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484E7D-1756-B820-AE8A-44FED48C9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87" TargetMode="External"/><Relationship Id="rId13" Type="http://schemas.openxmlformats.org/officeDocument/2006/relationships/hyperlink" Target="http://www.konkoly.hu/cgi-bin/IBVS?5741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konkoly.hu/cgi-bin/IBVS?5583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93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04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5.140625" customWidth="1"/>
    <col min="2" max="2" width="6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  <c r="C1" s="14" t="s">
        <v>41</v>
      </c>
    </row>
    <row r="2" spans="1:6">
      <c r="A2" t="s">
        <v>25</v>
      </c>
      <c r="B2" s="13" t="s">
        <v>38</v>
      </c>
    </row>
    <row r="4" spans="1:6" ht="14.25" thickTop="1" thickBot="1">
      <c r="A4" s="7" t="s">
        <v>1</v>
      </c>
      <c r="C4" s="3">
        <v>29112.38</v>
      </c>
      <c r="D4" s="4">
        <v>0.70312600000000003</v>
      </c>
    </row>
    <row r="5" spans="1:6" ht="13.5" thickTop="1">
      <c r="A5" s="16" t="s">
        <v>43</v>
      </c>
      <c r="B5" s="17"/>
      <c r="C5" s="18">
        <v>-9.5</v>
      </c>
      <c r="D5" s="17" t="s">
        <v>44</v>
      </c>
    </row>
    <row r="6" spans="1:6">
      <c r="A6" s="7" t="s">
        <v>2</v>
      </c>
    </row>
    <row r="7" spans="1:6">
      <c r="A7" t="s">
        <v>3</v>
      </c>
      <c r="C7">
        <f>+C4</f>
        <v>29112.38</v>
      </c>
    </row>
    <row r="8" spans="1:6">
      <c r="A8" t="s">
        <v>4</v>
      </c>
      <c r="C8">
        <f>+D4</f>
        <v>0.70312600000000003</v>
      </c>
    </row>
    <row r="9" spans="1:6">
      <c r="A9" s="31" t="s">
        <v>48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>
      <c r="A10" s="17"/>
      <c r="B10" s="17"/>
      <c r="C10" s="6" t="s">
        <v>21</v>
      </c>
      <c r="D10" s="6" t="s">
        <v>22</v>
      </c>
      <c r="E10" s="17"/>
    </row>
    <row r="11" spans="1:6">
      <c r="A11" s="17" t="s">
        <v>17</v>
      </c>
      <c r="B11" s="17"/>
      <c r="C11" s="28">
        <f ca="1">INTERCEPT(INDIRECT($D$9):G991,INDIRECT($C$9):F991)</f>
        <v>-1.4777265481472762E-3</v>
      </c>
      <c r="D11" s="5"/>
      <c r="E11" s="17"/>
    </row>
    <row r="12" spans="1:6">
      <c r="A12" s="17" t="s">
        <v>18</v>
      </c>
      <c r="B12" s="17"/>
      <c r="C12" s="28">
        <f ca="1">SLOPE(INDIRECT($D$9):G991,INDIRECT($C$9):F991)</f>
        <v>1.2754230717527822E-6</v>
      </c>
      <c r="D12" s="5"/>
      <c r="E12" s="17"/>
    </row>
    <row r="13" spans="1:6">
      <c r="A13" s="17" t="s">
        <v>20</v>
      </c>
      <c r="B13" s="17"/>
      <c r="C13" s="5" t="s">
        <v>15</v>
      </c>
    </row>
    <row r="14" spans="1:6">
      <c r="A14" s="17"/>
      <c r="B14" s="17"/>
      <c r="C14" s="17"/>
    </row>
    <row r="15" spans="1:6">
      <c r="A15" s="19" t="s">
        <v>19</v>
      </c>
      <c r="B15" s="17"/>
      <c r="C15" s="20">
        <f ca="1">(C7+C11)+(C8+C12)*INT(MAX(F21:F3532))</f>
        <v>57564.423722268053</v>
      </c>
      <c r="E15" s="5"/>
      <c r="F15" s="17"/>
    </row>
    <row r="16" spans="1:6">
      <c r="A16" s="23" t="s">
        <v>5</v>
      </c>
      <c r="B16" s="17"/>
      <c r="C16" s="24">
        <f ca="1">+C8+C12</f>
        <v>0.70312727542307174</v>
      </c>
      <c r="E16" s="17"/>
      <c r="F16" s="17"/>
    </row>
    <row r="17" spans="1:30" ht="13.5" thickBot="1">
      <c r="A17" s="21" t="s">
        <v>40</v>
      </c>
      <c r="B17" s="17"/>
      <c r="C17" s="17">
        <f>COUNT(C21:C2190)</f>
        <v>27</v>
      </c>
      <c r="E17" s="21" t="s">
        <v>45</v>
      </c>
      <c r="F17" s="22">
        <f ca="1">TODAY()+15018.5-B5/24</f>
        <v>60344.5</v>
      </c>
    </row>
    <row r="18" spans="1:30" ht="14.25" thickTop="1" thickBot="1">
      <c r="A18" s="23" t="s">
        <v>6</v>
      </c>
      <c r="B18" s="17"/>
      <c r="C18" s="26">
        <f ca="1">+C15</f>
        <v>57564.423722268053</v>
      </c>
      <c r="D18" s="27">
        <f ca="1">+C16</f>
        <v>0.70312727542307174</v>
      </c>
      <c r="E18" s="21" t="s">
        <v>46</v>
      </c>
      <c r="F18" s="22">
        <f ca="1">ROUND(2*(F17-C15)/C16,0)/2+1</f>
        <v>3955</v>
      </c>
    </row>
    <row r="19" spans="1:30" ht="13.5" thickTop="1">
      <c r="E19" s="21" t="s">
        <v>47</v>
      </c>
      <c r="F19" s="25">
        <f ca="1">+C15+C16*F18-15018.5-C5/24</f>
        <v>45327.187929899635</v>
      </c>
    </row>
    <row r="20" spans="1:30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62</v>
      </c>
      <c r="I20" s="9" t="s">
        <v>65</v>
      </c>
      <c r="J20" s="9" t="s">
        <v>59</v>
      </c>
      <c r="K20" s="9" t="s">
        <v>51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63" t="s">
        <v>183</v>
      </c>
    </row>
    <row r="21" spans="1:30">
      <c r="A21" t="s">
        <v>13</v>
      </c>
      <c r="C21" s="11">
        <v>29112.38</v>
      </c>
      <c r="D21" s="11" t="s">
        <v>15</v>
      </c>
      <c r="E21">
        <f t="shared" ref="E21:E46" si="0">+(C21-C$7)/C$8</f>
        <v>0</v>
      </c>
      <c r="F21">
        <f t="shared" ref="F21:F47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ca="1" si="3">+C$11+C$12*F21</f>
        <v>-1.4777265481472762E-3</v>
      </c>
      <c r="Q21" s="2">
        <f t="shared" ref="Q21:Q46" si="4">+C21-15018.5</f>
        <v>14093.880000000001</v>
      </c>
    </row>
    <row r="22" spans="1:30">
      <c r="A22" t="s">
        <v>30</v>
      </c>
      <c r="C22" s="15">
        <v>47496.34</v>
      </c>
      <c r="D22" s="11"/>
      <c r="E22">
        <f t="shared" si="0"/>
        <v>26146.039258966379</v>
      </c>
      <c r="F22">
        <f t="shared" si="1"/>
        <v>26146</v>
      </c>
      <c r="G22">
        <f t="shared" si="2"/>
        <v>2.7603999995335471E-2</v>
      </c>
      <c r="I22">
        <f>+G22</f>
        <v>2.7603999995335471E-2</v>
      </c>
      <c r="O22">
        <f t="shared" ca="1" si="3"/>
        <v>3.1869485085900963E-2</v>
      </c>
      <c r="Q22" s="2">
        <f t="shared" si="4"/>
        <v>32477.839999999997</v>
      </c>
      <c r="AA22">
        <v>5</v>
      </c>
      <c r="AB22" t="s">
        <v>29</v>
      </c>
      <c r="AD22" t="s">
        <v>31</v>
      </c>
    </row>
    <row r="23" spans="1:30">
      <c r="A23" t="s">
        <v>35</v>
      </c>
      <c r="B23" s="11"/>
      <c r="C23" s="11">
        <v>50667.450299999997</v>
      </c>
      <c r="D23" s="11">
        <v>5.5999999999999999E-3</v>
      </c>
      <c r="E23">
        <f t="shared" si="0"/>
        <v>30656.056382497583</v>
      </c>
      <c r="F23">
        <f t="shared" si="1"/>
        <v>30656</v>
      </c>
      <c r="G23">
        <f t="shared" si="2"/>
        <v>3.964399998949375E-2</v>
      </c>
      <c r="K23">
        <f t="shared" ref="K23:K32" si="5">+G23</f>
        <v>3.964399998949375E-2</v>
      </c>
      <c r="O23">
        <f t="shared" ca="1" si="3"/>
        <v>3.7621643139506014E-2</v>
      </c>
      <c r="Q23" s="2">
        <f t="shared" si="4"/>
        <v>35648.950299999997</v>
      </c>
    </row>
    <row r="24" spans="1:30">
      <c r="A24" t="s">
        <v>35</v>
      </c>
      <c r="B24" s="10"/>
      <c r="C24" s="11">
        <v>50686.431499999999</v>
      </c>
      <c r="D24" s="11">
        <v>3.5000000000000001E-3</v>
      </c>
      <c r="E24">
        <f t="shared" si="0"/>
        <v>30683.051828548505</v>
      </c>
      <c r="F24">
        <f t="shared" si="1"/>
        <v>30683</v>
      </c>
      <c r="G24">
        <f t="shared" si="2"/>
        <v>3.6441999996895902E-2</v>
      </c>
      <c r="K24">
        <f t="shared" si="5"/>
        <v>3.6441999996895902E-2</v>
      </c>
      <c r="O24">
        <f t="shared" ca="1" si="3"/>
        <v>3.7656079562443337E-2</v>
      </c>
      <c r="Q24" s="2">
        <f t="shared" si="4"/>
        <v>35667.931499999999</v>
      </c>
    </row>
    <row r="25" spans="1:30">
      <c r="A25" t="s">
        <v>35</v>
      </c>
      <c r="B25" s="10"/>
      <c r="C25" s="11">
        <v>50693.4663</v>
      </c>
      <c r="D25" s="11">
        <v>1.4E-3</v>
      </c>
      <c r="E25">
        <f t="shared" si="0"/>
        <v>30693.056863208014</v>
      </c>
      <c r="F25">
        <f t="shared" si="1"/>
        <v>30693</v>
      </c>
      <c r="G25">
        <f t="shared" si="2"/>
        <v>3.9982000002055429E-2</v>
      </c>
      <c r="K25">
        <f t="shared" si="5"/>
        <v>3.9982000002055429E-2</v>
      </c>
      <c r="O25">
        <f t="shared" ca="1" si="3"/>
        <v>3.7668833793160869E-2</v>
      </c>
      <c r="Q25" s="2">
        <f t="shared" si="4"/>
        <v>35674.9663</v>
      </c>
    </row>
    <row r="26" spans="1:30">
      <c r="A26" t="s">
        <v>36</v>
      </c>
      <c r="C26" s="11">
        <v>51120.262300000002</v>
      </c>
      <c r="D26" s="11">
        <v>2.2000000000000001E-3</v>
      </c>
      <c r="E26">
        <f t="shared" si="0"/>
        <v>31300.054755477682</v>
      </c>
      <c r="F26">
        <f t="shared" si="1"/>
        <v>31300</v>
      </c>
      <c r="G26">
        <f t="shared" si="2"/>
        <v>3.8499999995110556E-2</v>
      </c>
      <c r="K26">
        <f t="shared" si="5"/>
        <v>3.8499999995110556E-2</v>
      </c>
      <c r="O26">
        <f t="shared" ca="1" si="3"/>
        <v>3.8443015597714805E-2</v>
      </c>
      <c r="Q26" s="2">
        <f t="shared" si="4"/>
        <v>36101.762300000002</v>
      </c>
    </row>
    <row r="27" spans="1:30">
      <c r="A27" s="33" t="s">
        <v>32</v>
      </c>
      <c r="B27" s="34" t="s">
        <v>33</v>
      </c>
      <c r="C27" s="35">
        <v>51375.498899999999</v>
      </c>
      <c r="D27" s="35">
        <v>1E-3</v>
      </c>
      <c r="E27" s="33">
        <f t="shared" si="0"/>
        <v>31663.057403651688</v>
      </c>
      <c r="F27">
        <f t="shared" si="1"/>
        <v>31663</v>
      </c>
      <c r="G27">
        <f t="shared" si="2"/>
        <v>4.0361999992455821E-2</v>
      </c>
      <c r="K27">
        <f t="shared" si="5"/>
        <v>4.0361999992455821E-2</v>
      </c>
      <c r="O27">
        <f t="shared" ca="1" si="3"/>
        <v>3.8905994172761062E-2</v>
      </c>
      <c r="Q27" s="2">
        <f t="shared" si="4"/>
        <v>36356.998899999999</v>
      </c>
    </row>
    <row r="28" spans="1:30">
      <c r="A28" s="33" t="s">
        <v>32</v>
      </c>
      <c r="B28" s="34" t="s">
        <v>33</v>
      </c>
      <c r="C28" s="35">
        <v>51449.3226</v>
      </c>
      <c r="D28" s="35">
        <v>3.0000000000000001E-3</v>
      </c>
      <c r="E28" s="33">
        <f t="shared" si="0"/>
        <v>31768.050960994184</v>
      </c>
      <c r="F28">
        <f t="shared" si="1"/>
        <v>31768</v>
      </c>
      <c r="G28">
        <f t="shared" si="2"/>
        <v>3.5831999994115904E-2</v>
      </c>
      <c r="K28">
        <f t="shared" si="5"/>
        <v>3.5831999994115904E-2</v>
      </c>
      <c r="O28">
        <f t="shared" ca="1" si="3"/>
        <v>3.9039913595295107E-2</v>
      </c>
      <c r="Q28" s="2">
        <f t="shared" si="4"/>
        <v>36430.8226</v>
      </c>
    </row>
    <row r="29" spans="1:30">
      <c r="A29" s="36" t="s">
        <v>49</v>
      </c>
      <c r="B29" s="37" t="s">
        <v>50</v>
      </c>
      <c r="C29" s="36">
        <v>51766.428899999999</v>
      </c>
      <c r="D29" s="36" t="s">
        <v>51</v>
      </c>
      <c r="E29" s="33">
        <f t="shared" si="0"/>
        <v>32219.045946245762</v>
      </c>
      <c r="F29">
        <f t="shared" si="1"/>
        <v>32219</v>
      </c>
      <c r="G29">
        <f t="shared" si="2"/>
        <v>3.2305999993695877E-2</v>
      </c>
      <c r="K29">
        <f t="shared" si="5"/>
        <v>3.2305999993695877E-2</v>
      </c>
      <c r="O29">
        <f t="shared" ca="1" si="3"/>
        <v>3.9615129400655612E-2</v>
      </c>
      <c r="Q29" s="2">
        <f t="shared" si="4"/>
        <v>36747.928899999999</v>
      </c>
    </row>
    <row r="30" spans="1:30">
      <c r="A30" s="33" t="s">
        <v>34</v>
      </c>
      <c r="B30" s="34" t="s">
        <v>33</v>
      </c>
      <c r="C30" s="35">
        <v>51778.391900000002</v>
      </c>
      <c r="D30" s="35">
        <v>2E-3</v>
      </c>
      <c r="E30" s="33">
        <f t="shared" si="0"/>
        <v>32236.059966492492</v>
      </c>
      <c r="F30">
        <f t="shared" si="1"/>
        <v>32236</v>
      </c>
      <c r="G30">
        <f t="shared" si="2"/>
        <v>4.2163999998592772E-2</v>
      </c>
      <c r="K30">
        <f t="shared" si="5"/>
        <v>4.2163999998592772E-2</v>
      </c>
      <c r="O30">
        <f t="shared" ca="1" si="3"/>
        <v>3.9636811592875409E-2</v>
      </c>
      <c r="Q30" s="2">
        <f t="shared" si="4"/>
        <v>36759.891900000002</v>
      </c>
    </row>
    <row r="31" spans="1:30">
      <c r="A31" s="36" t="s">
        <v>49</v>
      </c>
      <c r="B31" s="37" t="s">
        <v>50</v>
      </c>
      <c r="C31" s="36">
        <v>51780.501450000003</v>
      </c>
      <c r="D31" s="36">
        <v>2.8E-3</v>
      </c>
      <c r="E31" s="33">
        <f t="shared" si="0"/>
        <v>32239.060211114367</v>
      </c>
      <c r="F31">
        <f t="shared" si="1"/>
        <v>32239</v>
      </c>
      <c r="G31">
        <f t="shared" si="2"/>
        <v>4.2336000005889218E-2</v>
      </c>
      <c r="K31">
        <f t="shared" si="5"/>
        <v>4.2336000005889218E-2</v>
      </c>
      <c r="O31">
        <f t="shared" ca="1" si="3"/>
        <v>3.9640637862090669E-2</v>
      </c>
      <c r="Q31" s="2">
        <f t="shared" si="4"/>
        <v>36762.001450000003</v>
      </c>
    </row>
    <row r="32" spans="1:30">
      <c r="A32" s="33" t="s">
        <v>34</v>
      </c>
      <c r="B32" s="34" t="s">
        <v>33</v>
      </c>
      <c r="C32" s="35">
        <v>51799.490700000002</v>
      </c>
      <c r="D32" s="35">
        <v>4.7999999999999996E-3</v>
      </c>
      <c r="E32" s="33">
        <f t="shared" si="0"/>
        <v>32266.067106037895</v>
      </c>
      <c r="F32">
        <f t="shared" si="1"/>
        <v>32266</v>
      </c>
      <c r="G32">
        <f t="shared" si="2"/>
        <v>4.7184000002744142E-2</v>
      </c>
      <c r="K32">
        <f t="shared" si="5"/>
        <v>4.7184000002744142E-2</v>
      </c>
      <c r="O32">
        <f t="shared" ca="1" si="3"/>
        <v>3.9675074285027992E-2</v>
      </c>
      <c r="Q32" s="2">
        <f t="shared" si="4"/>
        <v>36780.990700000002</v>
      </c>
    </row>
    <row r="33" spans="1:17">
      <c r="A33" s="60" t="s">
        <v>114</v>
      </c>
      <c r="B33" s="61" t="s">
        <v>33</v>
      </c>
      <c r="C33" s="62">
        <v>52100.417000000001</v>
      </c>
      <c r="D33" s="62" t="s">
        <v>65</v>
      </c>
      <c r="E33">
        <f t="shared" si="0"/>
        <v>32694.050568461415</v>
      </c>
      <c r="F33">
        <f t="shared" si="1"/>
        <v>32694</v>
      </c>
      <c r="G33">
        <f t="shared" si="2"/>
        <v>3.5556000002543442E-2</v>
      </c>
      <c r="I33">
        <f>+G33</f>
        <v>3.5556000002543442E-2</v>
      </c>
      <c r="O33">
        <f t="shared" ca="1" si="3"/>
        <v>4.0220955359738186E-2</v>
      </c>
      <c r="Q33" s="2">
        <f t="shared" si="4"/>
        <v>37081.917000000001</v>
      </c>
    </row>
    <row r="34" spans="1:17">
      <c r="A34" s="12" t="s">
        <v>37</v>
      </c>
      <c r="B34" s="34" t="s">
        <v>33</v>
      </c>
      <c r="C34" s="35">
        <v>52815.5023</v>
      </c>
      <c r="D34" s="35">
        <v>5.7000000000000002E-3</v>
      </c>
      <c r="E34" s="33">
        <f t="shared" si="0"/>
        <v>33711.0593264934</v>
      </c>
      <c r="F34">
        <f t="shared" si="1"/>
        <v>33711</v>
      </c>
      <c r="G34">
        <f t="shared" si="2"/>
        <v>4.1713999999046791E-2</v>
      </c>
      <c r="K34">
        <f>+G34</f>
        <v>4.1713999999046791E-2</v>
      </c>
      <c r="O34">
        <f t="shared" ca="1" si="3"/>
        <v>4.1518060623710766E-2</v>
      </c>
      <c r="Q34" s="2">
        <f t="shared" si="4"/>
        <v>37797.0023</v>
      </c>
    </row>
    <row r="35" spans="1:17">
      <c r="A35" s="38" t="s">
        <v>39</v>
      </c>
      <c r="B35" s="12"/>
      <c r="C35" s="39">
        <v>52886.511100000003</v>
      </c>
      <c r="D35" s="39">
        <v>1.9E-3</v>
      </c>
      <c r="E35" s="33">
        <f t="shared" si="0"/>
        <v>33812.049476196305</v>
      </c>
      <c r="F35">
        <f t="shared" si="1"/>
        <v>33812</v>
      </c>
      <c r="G35">
        <f t="shared" si="2"/>
        <v>3.4788000004482456E-2</v>
      </c>
      <c r="J35">
        <f>+G35</f>
        <v>3.4788000004482456E-2</v>
      </c>
      <c r="O35">
        <f t="shared" ca="1" si="3"/>
        <v>4.1646878353957792E-2</v>
      </c>
      <c r="Q35" s="2">
        <f t="shared" si="4"/>
        <v>37868.011100000003</v>
      </c>
    </row>
    <row r="36" spans="1:17">
      <c r="A36" s="60" t="s">
        <v>184</v>
      </c>
      <c r="B36" s="61" t="s">
        <v>33</v>
      </c>
      <c r="C36" s="62">
        <v>53246.519699999997</v>
      </c>
      <c r="D36" s="62" t="s">
        <v>65</v>
      </c>
      <c r="E36">
        <f t="shared" si="0"/>
        <v>34324.060979113267</v>
      </c>
      <c r="F36">
        <f t="shared" si="1"/>
        <v>34324</v>
      </c>
      <c r="G36">
        <f t="shared" si="2"/>
        <v>4.2875999999523629E-2</v>
      </c>
      <c r="I36">
        <f>+G36</f>
        <v>4.2875999999523629E-2</v>
      </c>
      <c r="O36">
        <f t="shared" ca="1" si="3"/>
        <v>4.2299894966695221E-2</v>
      </c>
      <c r="Q36" s="2">
        <f t="shared" si="4"/>
        <v>38228.019699999997</v>
      </c>
    </row>
    <row r="37" spans="1:17">
      <c r="A37" s="60" t="s">
        <v>135</v>
      </c>
      <c r="B37" s="61" t="s">
        <v>33</v>
      </c>
      <c r="C37" s="62">
        <v>54312.46</v>
      </c>
      <c r="D37" s="62" t="s">
        <v>65</v>
      </c>
      <c r="E37">
        <f t="shared" si="0"/>
        <v>35840.062805244008</v>
      </c>
      <c r="F37">
        <f t="shared" si="1"/>
        <v>35840</v>
      </c>
      <c r="G37">
        <f t="shared" si="2"/>
        <v>4.4159999997646082E-2</v>
      </c>
      <c r="I37">
        <f>+G37</f>
        <v>4.4159999997646082E-2</v>
      </c>
      <c r="O37">
        <f t="shared" ca="1" si="3"/>
        <v>4.4233436343472439E-2</v>
      </c>
      <c r="Q37" s="2">
        <f t="shared" si="4"/>
        <v>39293.96</v>
      </c>
    </row>
    <row r="38" spans="1:17">
      <c r="A38" s="40" t="s">
        <v>52</v>
      </c>
      <c r="B38" s="41" t="s">
        <v>33</v>
      </c>
      <c r="C38" s="42">
        <v>54319.491540000003</v>
      </c>
      <c r="D38" s="42">
        <v>2.0000000000000001E-4</v>
      </c>
      <c r="E38" s="33">
        <f t="shared" si="0"/>
        <v>35850.063203465666</v>
      </c>
      <c r="F38">
        <f t="shared" si="1"/>
        <v>35850</v>
      </c>
      <c r="G38">
        <f t="shared" si="2"/>
        <v>4.4439999997848645E-2</v>
      </c>
      <c r="K38">
        <f>+G38</f>
        <v>4.4439999997848645E-2</v>
      </c>
      <c r="O38">
        <f t="shared" ca="1" si="3"/>
        <v>4.4246190574189964E-2</v>
      </c>
      <c r="Q38" s="2">
        <f t="shared" si="4"/>
        <v>39300.991540000003</v>
      </c>
    </row>
    <row r="39" spans="1:17">
      <c r="A39" s="60" t="s">
        <v>147</v>
      </c>
      <c r="B39" s="61" t="s">
        <v>33</v>
      </c>
      <c r="C39" s="62">
        <v>54658.399899999997</v>
      </c>
      <c r="D39" s="62" t="s">
        <v>65</v>
      </c>
      <c r="E39">
        <f t="shared" si="0"/>
        <v>36332.065518840143</v>
      </c>
      <c r="F39">
        <f t="shared" si="1"/>
        <v>36332</v>
      </c>
      <c r="G39">
        <f t="shared" si="2"/>
        <v>4.6067999996012077E-2</v>
      </c>
      <c r="I39">
        <f>+G39</f>
        <v>4.6067999996012077E-2</v>
      </c>
      <c r="O39">
        <f t="shared" ca="1" si="3"/>
        <v>4.4860944494774804E-2</v>
      </c>
      <c r="Q39" s="2">
        <f t="shared" si="4"/>
        <v>39639.899899999997</v>
      </c>
    </row>
    <row r="40" spans="1:17">
      <c r="A40" s="60" t="s">
        <v>152</v>
      </c>
      <c r="B40" s="61" t="s">
        <v>33</v>
      </c>
      <c r="C40" s="62">
        <v>55032.462800000001</v>
      </c>
      <c r="D40" s="62" t="s">
        <v>65</v>
      </c>
      <c r="E40">
        <f t="shared" si="0"/>
        <v>36864.065331107086</v>
      </c>
      <c r="F40">
        <f t="shared" si="1"/>
        <v>36864</v>
      </c>
      <c r="G40">
        <f t="shared" si="2"/>
        <v>4.593600000225706E-2</v>
      </c>
      <c r="I40">
        <f>+G40</f>
        <v>4.593600000225706E-2</v>
      </c>
      <c r="O40">
        <f t="shared" ca="1" si="3"/>
        <v>4.5539469568947284E-2</v>
      </c>
      <c r="Q40" s="2">
        <f t="shared" si="4"/>
        <v>40013.962800000001</v>
      </c>
    </row>
    <row r="41" spans="1:17">
      <c r="A41" s="46" t="s">
        <v>54</v>
      </c>
      <c r="B41" s="46"/>
      <c r="C41" s="44">
        <v>55482.465600000003</v>
      </c>
      <c r="D41" s="44">
        <v>7.3000000000000001E-3</v>
      </c>
      <c r="E41" s="33">
        <f t="shared" si="0"/>
        <v>37504.068403102719</v>
      </c>
      <c r="F41">
        <f t="shared" si="1"/>
        <v>37504</v>
      </c>
      <c r="G41">
        <f t="shared" si="2"/>
        <v>4.8096000005898532E-2</v>
      </c>
      <c r="J41">
        <f>+G41</f>
        <v>4.8096000005898532E-2</v>
      </c>
      <c r="O41">
        <f t="shared" ca="1" si="3"/>
        <v>4.6355740334869062E-2</v>
      </c>
      <c r="Q41" s="2">
        <f t="shared" si="4"/>
        <v>40463.965600000003</v>
      </c>
    </row>
    <row r="42" spans="1:17">
      <c r="A42" s="60" t="s">
        <v>162</v>
      </c>
      <c r="B42" s="61" t="s">
        <v>33</v>
      </c>
      <c r="C42" s="62">
        <v>55799.573600000003</v>
      </c>
      <c r="D42" s="62" t="s">
        <v>65</v>
      </c>
      <c r="E42">
        <f t="shared" si="0"/>
        <v>37955.06580612863</v>
      </c>
      <c r="F42">
        <f t="shared" si="1"/>
        <v>37955</v>
      </c>
      <c r="G42">
        <f t="shared" si="2"/>
        <v>4.6270000006188639E-2</v>
      </c>
      <c r="I42">
        <f>+G42</f>
        <v>4.6270000006188639E-2</v>
      </c>
      <c r="O42">
        <f t="shared" ca="1" si="3"/>
        <v>4.6930956140229574E-2</v>
      </c>
      <c r="Q42" s="2">
        <f t="shared" si="4"/>
        <v>40781.073600000003</v>
      </c>
    </row>
    <row r="43" spans="1:17">
      <c r="A43" s="60" t="s">
        <v>185</v>
      </c>
      <c r="B43" s="61" t="s">
        <v>33</v>
      </c>
      <c r="C43" s="62">
        <v>55853.718000000001</v>
      </c>
      <c r="D43" s="62" t="s">
        <v>65</v>
      </c>
      <c r="E43">
        <f t="shared" si="0"/>
        <v>38032.071065498931</v>
      </c>
      <c r="F43">
        <f t="shared" si="1"/>
        <v>38032</v>
      </c>
      <c r="G43">
        <f t="shared" si="2"/>
        <v>4.9967999999353196E-2</v>
      </c>
      <c r="I43">
        <f>+G43</f>
        <v>4.9967999999353196E-2</v>
      </c>
      <c r="O43">
        <f t="shared" ca="1" si="3"/>
        <v>4.7029163716754536E-2</v>
      </c>
      <c r="Q43" s="2">
        <f t="shared" si="4"/>
        <v>40835.218000000001</v>
      </c>
    </row>
    <row r="44" spans="1:17">
      <c r="A44" s="12" t="s">
        <v>53</v>
      </c>
      <c r="B44" s="34" t="s">
        <v>33</v>
      </c>
      <c r="C44" s="42">
        <v>56505.514799999997</v>
      </c>
      <c r="D44" s="35">
        <v>2.2000000000000001E-3</v>
      </c>
      <c r="E44" s="33">
        <f t="shared" si="0"/>
        <v>38959.069640434282</v>
      </c>
      <c r="F44">
        <f t="shared" si="1"/>
        <v>38959</v>
      </c>
      <c r="G44">
        <f t="shared" si="2"/>
        <v>4.8965999994834419E-2</v>
      </c>
      <c r="J44">
        <f>+G44</f>
        <v>4.8965999994834419E-2</v>
      </c>
      <c r="O44">
        <f t="shared" ca="1" si="3"/>
        <v>4.8211480904269362E-2</v>
      </c>
      <c r="Q44" s="2">
        <f t="shared" si="4"/>
        <v>41487.014799999997</v>
      </c>
    </row>
    <row r="45" spans="1:17">
      <c r="A45" s="12" t="s">
        <v>53</v>
      </c>
      <c r="B45" s="34" t="s">
        <v>33</v>
      </c>
      <c r="C45" s="42">
        <v>56588.4827</v>
      </c>
      <c r="D45" s="35">
        <v>4.7000000000000002E-3</v>
      </c>
      <c r="E45" s="33">
        <f t="shared" si="0"/>
        <v>39077.06826372513</v>
      </c>
      <c r="F45">
        <f t="shared" si="1"/>
        <v>39077</v>
      </c>
      <c r="G45">
        <f t="shared" si="2"/>
        <v>4.7998000001825858E-2</v>
      </c>
      <c r="J45">
        <f>+G45</f>
        <v>4.7998000001825858E-2</v>
      </c>
      <c r="O45">
        <f t="shared" ca="1" si="3"/>
        <v>4.8361980826736192E-2</v>
      </c>
      <c r="Q45" s="2">
        <f t="shared" si="4"/>
        <v>41569.9827</v>
      </c>
    </row>
    <row r="46" spans="1:17">
      <c r="A46" s="45" t="s">
        <v>55</v>
      </c>
      <c r="B46" s="43" t="s">
        <v>33</v>
      </c>
      <c r="C46" s="45">
        <v>56891.530700000003</v>
      </c>
      <c r="D46" s="45">
        <v>2.2000000000000001E-3</v>
      </c>
      <c r="E46" s="33">
        <f t="shared" si="0"/>
        <v>39508.069250745953</v>
      </c>
      <c r="F46">
        <f t="shared" si="1"/>
        <v>39508</v>
      </c>
      <c r="G46">
        <f t="shared" si="2"/>
        <v>4.8691999996663071E-2</v>
      </c>
      <c r="J46">
        <f>+G46</f>
        <v>4.8691999996663071E-2</v>
      </c>
      <c r="O46">
        <f t="shared" ca="1" si="3"/>
        <v>4.8911688170661639E-2</v>
      </c>
      <c r="Q46" s="2">
        <f t="shared" si="4"/>
        <v>41873.030700000003</v>
      </c>
    </row>
    <row r="47" spans="1:17">
      <c r="A47" s="64" t="s">
        <v>0</v>
      </c>
      <c r="B47" s="65" t="s">
        <v>33</v>
      </c>
      <c r="C47" s="66">
        <v>57564.424500000001</v>
      </c>
      <c r="D47" s="67">
        <v>1.1000000000000001E-3</v>
      </c>
      <c r="E47">
        <f>+(C47-C$7)/C$8</f>
        <v>40465.072405230356</v>
      </c>
      <c r="F47">
        <f t="shared" si="1"/>
        <v>40465</v>
      </c>
      <c r="G47">
        <f>+C47-(C$7+F47*C$8)</f>
        <v>5.0909999998111743E-2</v>
      </c>
      <c r="K47">
        <f>+G47</f>
        <v>5.0909999998111743E-2</v>
      </c>
      <c r="O47">
        <f ca="1">+C$11+C$12*F47</f>
        <v>5.0132268050329054E-2</v>
      </c>
      <c r="Q47" s="2">
        <f>+C47-15018.5</f>
        <v>42545.924500000001</v>
      </c>
    </row>
    <row r="48" spans="1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</sheetData>
  <phoneticPr fontId="8" type="noConversion"/>
  <hyperlinks>
    <hyperlink ref="H92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topLeftCell="A11" workbookViewId="0">
      <selection activeCell="A27" sqref="A27:D34"/>
    </sheetView>
  </sheetViews>
  <sheetFormatPr defaultRowHeight="12.75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7" t="s">
        <v>56</v>
      </c>
      <c r="I1" s="48" t="s">
        <v>57</v>
      </c>
      <c r="J1" s="49" t="s">
        <v>51</v>
      </c>
    </row>
    <row r="2" spans="1:16">
      <c r="I2" s="50" t="s">
        <v>58</v>
      </c>
      <c r="J2" s="51" t="s">
        <v>59</v>
      </c>
    </row>
    <row r="3" spans="1:16">
      <c r="A3" s="52" t="s">
        <v>60</v>
      </c>
      <c r="I3" s="50" t="s">
        <v>61</v>
      </c>
      <c r="J3" s="51" t="s">
        <v>62</v>
      </c>
    </row>
    <row r="4" spans="1:16">
      <c r="I4" s="50" t="s">
        <v>63</v>
      </c>
      <c r="J4" s="51" t="s">
        <v>62</v>
      </c>
    </row>
    <row r="5" spans="1:16" ht="13.5" thickBot="1">
      <c r="I5" s="53" t="s">
        <v>64</v>
      </c>
      <c r="J5" s="54" t="s">
        <v>65</v>
      </c>
    </row>
    <row r="10" spans="1:16" ht="13.5" thickBot="1"/>
    <row r="11" spans="1:16" ht="12.75" customHeight="1" thickBot="1">
      <c r="A11" s="11" t="str">
        <f t="shared" ref="A11:A34" si="0">P11</f>
        <v>IBVS 4887 </v>
      </c>
      <c r="B11" s="5" t="str">
        <f t="shared" ref="B11:B34" si="1">IF(H11=INT(H11),"I","II")</f>
        <v>I</v>
      </c>
      <c r="C11" s="11">
        <f t="shared" ref="C11:C34" si="2">1*G11</f>
        <v>50667.450299999997</v>
      </c>
      <c r="D11" s="17" t="str">
        <f t="shared" ref="D11:D34" si="3">VLOOKUP(F11,I$1:J$5,2,FALSE)</f>
        <v>vis</v>
      </c>
      <c r="E11" s="55">
        <f>VLOOKUP(C11,Active!C$21:E$972,3,FALSE)</f>
        <v>30656.056382497583</v>
      </c>
      <c r="F11" s="5" t="s">
        <v>64</v>
      </c>
      <c r="G11" s="17" t="str">
        <f t="shared" ref="G11:G34" si="4">MID(I11,3,LEN(I11)-3)</f>
        <v>50667.4503</v>
      </c>
      <c r="H11" s="11">
        <f t="shared" ref="H11:H34" si="5">1*K11</f>
        <v>30656</v>
      </c>
      <c r="I11" s="56" t="s">
        <v>66</v>
      </c>
      <c r="J11" s="57" t="s">
        <v>67</v>
      </c>
      <c r="K11" s="56">
        <v>30656</v>
      </c>
      <c r="L11" s="56" t="s">
        <v>68</v>
      </c>
      <c r="M11" s="57" t="s">
        <v>69</v>
      </c>
      <c r="N11" s="57" t="s">
        <v>70</v>
      </c>
      <c r="O11" s="58" t="s">
        <v>71</v>
      </c>
      <c r="P11" s="59" t="s">
        <v>72</v>
      </c>
    </row>
    <row r="12" spans="1:16" ht="12.75" customHeight="1" thickBot="1">
      <c r="A12" s="11" t="str">
        <f t="shared" si="0"/>
        <v>IBVS 4887 </v>
      </c>
      <c r="B12" s="5" t="str">
        <f t="shared" si="1"/>
        <v>I</v>
      </c>
      <c r="C12" s="11">
        <f t="shared" si="2"/>
        <v>50686.431499999999</v>
      </c>
      <c r="D12" s="17" t="str">
        <f t="shared" si="3"/>
        <v>vis</v>
      </c>
      <c r="E12" s="55">
        <f>VLOOKUP(C12,Active!C$21:E$972,3,FALSE)</f>
        <v>30683.051828548505</v>
      </c>
      <c r="F12" s="5" t="s">
        <v>64</v>
      </c>
      <c r="G12" s="17" t="str">
        <f t="shared" si="4"/>
        <v>50686.4315</v>
      </c>
      <c r="H12" s="11">
        <f t="shared" si="5"/>
        <v>30683</v>
      </c>
      <c r="I12" s="56" t="s">
        <v>73</v>
      </c>
      <c r="J12" s="57" t="s">
        <v>74</v>
      </c>
      <c r="K12" s="56">
        <v>30683</v>
      </c>
      <c r="L12" s="56" t="s">
        <v>75</v>
      </c>
      <c r="M12" s="57" t="s">
        <v>69</v>
      </c>
      <c r="N12" s="57" t="s">
        <v>70</v>
      </c>
      <c r="O12" s="58" t="s">
        <v>76</v>
      </c>
      <c r="P12" s="59" t="s">
        <v>72</v>
      </c>
    </row>
    <row r="13" spans="1:16" ht="12.75" customHeight="1" thickBot="1">
      <c r="A13" s="11" t="str">
        <f t="shared" si="0"/>
        <v>IBVS 4887 </v>
      </c>
      <c r="B13" s="5" t="str">
        <f t="shared" si="1"/>
        <v>I</v>
      </c>
      <c r="C13" s="11">
        <f t="shared" si="2"/>
        <v>50693.4663</v>
      </c>
      <c r="D13" s="17" t="str">
        <f t="shared" si="3"/>
        <v>vis</v>
      </c>
      <c r="E13" s="55">
        <f>VLOOKUP(C13,Active!C$21:E$972,3,FALSE)</f>
        <v>30693.056863208014</v>
      </c>
      <c r="F13" s="5" t="s">
        <v>64</v>
      </c>
      <c r="G13" s="17" t="str">
        <f t="shared" si="4"/>
        <v>50693.4663</v>
      </c>
      <c r="H13" s="11">
        <f t="shared" si="5"/>
        <v>30693</v>
      </c>
      <c r="I13" s="56" t="s">
        <v>77</v>
      </c>
      <c r="J13" s="57" t="s">
        <v>78</v>
      </c>
      <c r="K13" s="56">
        <v>30693</v>
      </c>
      <c r="L13" s="56" t="s">
        <v>79</v>
      </c>
      <c r="M13" s="57" t="s">
        <v>69</v>
      </c>
      <c r="N13" s="57" t="s">
        <v>70</v>
      </c>
      <c r="O13" s="58" t="s">
        <v>76</v>
      </c>
      <c r="P13" s="59" t="s">
        <v>72</v>
      </c>
    </row>
    <row r="14" spans="1:16" ht="12.75" customHeight="1" thickBot="1">
      <c r="A14" s="11" t="str">
        <f t="shared" si="0"/>
        <v>IBVS 4888 </v>
      </c>
      <c r="B14" s="5" t="str">
        <f t="shared" si="1"/>
        <v>I</v>
      </c>
      <c r="C14" s="11">
        <f t="shared" si="2"/>
        <v>51120.262300000002</v>
      </c>
      <c r="D14" s="17" t="str">
        <f t="shared" si="3"/>
        <v>vis</v>
      </c>
      <c r="E14" s="55">
        <f>VLOOKUP(C14,Active!C$21:E$972,3,FALSE)</f>
        <v>31300.054755477682</v>
      </c>
      <c r="F14" s="5" t="s">
        <v>64</v>
      </c>
      <c r="G14" s="17" t="str">
        <f t="shared" si="4"/>
        <v>51120.2623</v>
      </c>
      <c r="H14" s="11">
        <f t="shared" si="5"/>
        <v>31300</v>
      </c>
      <c r="I14" s="56" t="s">
        <v>80</v>
      </c>
      <c r="J14" s="57" t="s">
        <v>81</v>
      </c>
      <c r="K14" s="56">
        <v>31300</v>
      </c>
      <c r="L14" s="56" t="s">
        <v>82</v>
      </c>
      <c r="M14" s="57" t="s">
        <v>69</v>
      </c>
      <c r="N14" s="57" t="s">
        <v>70</v>
      </c>
      <c r="O14" s="58" t="s">
        <v>76</v>
      </c>
      <c r="P14" s="59" t="s">
        <v>83</v>
      </c>
    </row>
    <row r="15" spans="1:16" ht="12.75" customHeight="1" thickBot="1">
      <c r="A15" s="11" t="str">
        <f t="shared" si="0"/>
        <v>IBVS 5263 </v>
      </c>
      <c r="B15" s="5" t="str">
        <f t="shared" si="1"/>
        <v>I</v>
      </c>
      <c r="C15" s="11">
        <f t="shared" si="2"/>
        <v>51375.498899999999</v>
      </c>
      <c r="D15" s="17" t="str">
        <f t="shared" si="3"/>
        <v>vis</v>
      </c>
      <c r="E15" s="55">
        <f>VLOOKUP(C15,Active!C$21:E$972,3,FALSE)</f>
        <v>31663.057403651688</v>
      </c>
      <c r="F15" s="5" t="s">
        <v>64</v>
      </c>
      <c r="G15" s="17" t="str">
        <f t="shared" si="4"/>
        <v>51375.4989</v>
      </c>
      <c r="H15" s="11">
        <f t="shared" si="5"/>
        <v>31663</v>
      </c>
      <c r="I15" s="56" t="s">
        <v>84</v>
      </c>
      <c r="J15" s="57" t="s">
        <v>85</v>
      </c>
      <c r="K15" s="56">
        <v>31663</v>
      </c>
      <c r="L15" s="56" t="s">
        <v>86</v>
      </c>
      <c r="M15" s="57" t="s">
        <v>69</v>
      </c>
      <c r="N15" s="57" t="s">
        <v>70</v>
      </c>
      <c r="O15" s="58" t="s">
        <v>76</v>
      </c>
      <c r="P15" s="59" t="s">
        <v>87</v>
      </c>
    </row>
    <row r="16" spans="1:16" ht="12.75" customHeight="1" thickBot="1">
      <c r="A16" s="11" t="str">
        <f t="shared" si="0"/>
        <v>IBVS 5263 </v>
      </c>
      <c r="B16" s="5" t="str">
        <f t="shared" si="1"/>
        <v>I</v>
      </c>
      <c r="C16" s="11">
        <f t="shared" si="2"/>
        <v>51449.3226</v>
      </c>
      <c r="D16" s="17" t="str">
        <f t="shared" si="3"/>
        <v>vis</v>
      </c>
      <c r="E16" s="55">
        <f>VLOOKUP(C16,Active!C$21:E$972,3,FALSE)</f>
        <v>31768.050960994184</v>
      </c>
      <c r="F16" s="5" t="s">
        <v>64</v>
      </c>
      <c r="G16" s="17" t="str">
        <f t="shared" si="4"/>
        <v>51449.3226</v>
      </c>
      <c r="H16" s="11">
        <f t="shared" si="5"/>
        <v>31768</v>
      </c>
      <c r="I16" s="56" t="s">
        <v>88</v>
      </c>
      <c r="J16" s="57" t="s">
        <v>89</v>
      </c>
      <c r="K16" s="56">
        <v>31768</v>
      </c>
      <c r="L16" s="56" t="s">
        <v>90</v>
      </c>
      <c r="M16" s="57" t="s">
        <v>69</v>
      </c>
      <c r="N16" s="57" t="s">
        <v>70</v>
      </c>
      <c r="O16" s="58" t="s">
        <v>76</v>
      </c>
      <c r="P16" s="59" t="s">
        <v>87</v>
      </c>
    </row>
    <row r="17" spans="1:16" ht="12.75" customHeight="1" thickBot="1">
      <c r="A17" s="11" t="str">
        <f t="shared" si="0"/>
        <v>OEJV 0074 </v>
      </c>
      <c r="B17" s="5" t="str">
        <f t="shared" si="1"/>
        <v>I</v>
      </c>
      <c r="C17" s="11">
        <f t="shared" si="2"/>
        <v>51766.428899999999</v>
      </c>
      <c r="D17" s="17" t="str">
        <f t="shared" si="3"/>
        <v>vis</v>
      </c>
      <c r="E17" s="55">
        <f>VLOOKUP(C17,Active!C$21:E$972,3,FALSE)</f>
        <v>32219.045946245762</v>
      </c>
      <c r="F17" s="5" t="s">
        <v>64</v>
      </c>
      <c r="G17" s="17" t="str">
        <f t="shared" si="4"/>
        <v>51766.42890</v>
      </c>
      <c r="H17" s="11">
        <f t="shared" si="5"/>
        <v>32219</v>
      </c>
      <c r="I17" s="56" t="s">
        <v>91</v>
      </c>
      <c r="J17" s="57" t="s">
        <v>92</v>
      </c>
      <c r="K17" s="56">
        <v>32219</v>
      </c>
      <c r="L17" s="56" t="s">
        <v>93</v>
      </c>
      <c r="M17" s="57" t="s">
        <v>94</v>
      </c>
      <c r="N17" s="57" t="s">
        <v>95</v>
      </c>
      <c r="O17" s="58" t="s">
        <v>96</v>
      </c>
      <c r="P17" s="59" t="s">
        <v>97</v>
      </c>
    </row>
    <row r="18" spans="1:16" ht="12.75" customHeight="1" thickBot="1">
      <c r="A18" s="11" t="str">
        <f t="shared" si="0"/>
        <v>IBVS 5287 </v>
      </c>
      <c r="B18" s="5" t="str">
        <f t="shared" si="1"/>
        <v>I</v>
      </c>
      <c r="C18" s="11">
        <f t="shared" si="2"/>
        <v>51778.391900000002</v>
      </c>
      <c r="D18" s="17" t="str">
        <f t="shared" si="3"/>
        <v>vis</v>
      </c>
      <c r="E18" s="55">
        <f>VLOOKUP(C18,Active!C$21:E$972,3,FALSE)</f>
        <v>32236.059966492492</v>
      </c>
      <c r="F18" s="5" t="s">
        <v>64</v>
      </c>
      <c r="G18" s="17" t="str">
        <f t="shared" si="4"/>
        <v>51778.3919</v>
      </c>
      <c r="H18" s="11">
        <f t="shared" si="5"/>
        <v>32236</v>
      </c>
      <c r="I18" s="56" t="s">
        <v>98</v>
      </c>
      <c r="J18" s="57" t="s">
        <v>99</v>
      </c>
      <c r="K18" s="56">
        <v>32236</v>
      </c>
      <c r="L18" s="56" t="s">
        <v>100</v>
      </c>
      <c r="M18" s="57" t="s">
        <v>69</v>
      </c>
      <c r="N18" s="57" t="s">
        <v>70</v>
      </c>
      <c r="O18" s="58" t="s">
        <v>101</v>
      </c>
      <c r="P18" s="59" t="s">
        <v>102</v>
      </c>
    </row>
    <row r="19" spans="1:16" ht="12.75" customHeight="1" thickBot="1">
      <c r="A19" s="11" t="str">
        <f t="shared" si="0"/>
        <v>OEJV 0074 </v>
      </c>
      <c r="B19" s="5" t="str">
        <f t="shared" si="1"/>
        <v>I</v>
      </c>
      <c r="C19" s="11">
        <f t="shared" si="2"/>
        <v>51780.501450000003</v>
      </c>
      <c r="D19" s="17" t="str">
        <f t="shared" si="3"/>
        <v>vis</v>
      </c>
      <c r="E19" s="55">
        <f>VLOOKUP(C19,Active!C$21:E$972,3,FALSE)</f>
        <v>32239.060211114367</v>
      </c>
      <c r="F19" s="5" t="s">
        <v>64</v>
      </c>
      <c r="G19" s="17" t="str">
        <f t="shared" si="4"/>
        <v>51780.50145</v>
      </c>
      <c r="H19" s="11">
        <f t="shared" si="5"/>
        <v>32239</v>
      </c>
      <c r="I19" s="56" t="s">
        <v>103</v>
      </c>
      <c r="J19" s="57" t="s">
        <v>104</v>
      </c>
      <c r="K19" s="56">
        <v>32239</v>
      </c>
      <c r="L19" s="56" t="s">
        <v>105</v>
      </c>
      <c r="M19" s="57" t="s">
        <v>94</v>
      </c>
      <c r="N19" s="57" t="s">
        <v>95</v>
      </c>
      <c r="O19" s="58" t="s">
        <v>106</v>
      </c>
      <c r="P19" s="59" t="s">
        <v>97</v>
      </c>
    </row>
    <row r="20" spans="1:16" ht="12.75" customHeight="1" thickBot="1">
      <c r="A20" s="11" t="str">
        <f t="shared" si="0"/>
        <v>IBVS 5287 </v>
      </c>
      <c r="B20" s="5" t="str">
        <f t="shared" si="1"/>
        <v>I</v>
      </c>
      <c r="C20" s="11">
        <f t="shared" si="2"/>
        <v>51799.490700000002</v>
      </c>
      <c r="D20" s="17" t="str">
        <f t="shared" si="3"/>
        <v>vis</v>
      </c>
      <c r="E20" s="55">
        <f>VLOOKUP(C20,Active!C$21:E$972,3,FALSE)</f>
        <v>32266.067106037895</v>
      </c>
      <c r="F20" s="5" t="s">
        <v>64</v>
      </c>
      <c r="G20" s="17" t="str">
        <f t="shared" si="4"/>
        <v>51799.4907</v>
      </c>
      <c r="H20" s="11">
        <f t="shared" si="5"/>
        <v>32266</v>
      </c>
      <c r="I20" s="56" t="s">
        <v>107</v>
      </c>
      <c r="J20" s="57" t="s">
        <v>108</v>
      </c>
      <c r="K20" s="56">
        <v>32266</v>
      </c>
      <c r="L20" s="56" t="s">
        <v>109</v>
      </c>
      <c r="M20" s="57" t="s">
        <v>69</v>
      </c>
      <c r="N20" s="57" t="s">
        <v>70</v>
      </c>
      <c r="O20" s="58" t="s">
        <v>101</v>
      </c>
      <c r="P20" s="59" t="s">
        <v>102</v>
      </c>
    </row>
    <row r="21" spans="1:16" ht="12.75" customHeight="1" thickBot="1">
      <c r="A21" s="11" t="str">
        <f t="shared" si="0"/>
        <v>IBVS 5583 </v>
      </c>
      <c r="B21" s="5" t="str">
        <f t="shared" si="1"/>
        <v>I</v>
      </c>
      <c r="C21" s="11">
        <f t="shared" si="2"/>
        <v>52815.5023</v>
      </c>
      <c r="D21" s="17" t="str">
        <f t="shared" si="3"/>
        <v>vis</v>
      </c>
      <c r="E21" s="55">
        <f>VLOOKUP(C21,Active!C$21:E$972,3,FALSE)</f>
        <v>33711.0593264934</v>
      </c>
      <c r="F21" s="5" t="s">
        <v>64</v>
      </c>
      <c r="G21" s="17" t="str">
        <f t="shared" si="4"/>
        <v>52815.5023</v>
      </c>
      <c r="H21" s="11">
        <f t="shared" si="5"/>
        <v>33711</v>
      </c>
      <c r="I21" s="56" t="s">
        <v>115</v>
      </c>
      <c r="J21" s="57" t="s">
        <v>116</v>
      </c>
      <c r="K21" s="56">
        <v>33711</v>
      </c>
      <c r="L21" s="56" t="s">
        <v>117</v>
      </c>
      <c r="M21" s="57" t="s">
        <v>69</v>
      </c>
      <c r="N21" s="57" t="s">
        <v>70</v>
      </c>
      <c r="O21" s="58" t="s">
        <v>101</v>
      </c>
      <c r="P21" s="59" t="s">
        <v>118</v>
      </c>
    </row>
    <row r="22" spans="1:16" ht="12.75" customHeight="1" thickBot="1">
      <c r="A22" s="11" t="str">
        <f t="shared" si="0"/>
        <v>BAVM 172 </v>
      </c>
      <c r="B22" s="5" t="str">
        <f t="shared" si="1"/>
        <v>I</v>
      </c>
      <c r="C22" s="11">
        <f t="shared" si="2"/>
        <v>52886.511100000003</v>
      </c>
      <c r="D22" s="17" t="str">
        <f t="shared" si="3"/>
        <v>vis</v>
      </c>
      <c r="E22" s="55">
        <f>VLOOKUP(C22,Active!C$21:E$972,3,FALSE)</f>
        <v>33812.049476196305</v>
      </c>
      <c r="F22" s="5" t="s">
        <v>64</v>
      </c>
      <c r="G22" s="17" t="str">
        <f t="shared" si="4"/>
        <v>52886.5111</v>
      </c>
      <c r="H22" s="11">
        <f t="shared" si="5"/>
        <v>33812</v>
      </c>
      <c r="I22" s="56" t="s">
        <v>119</v>
      </c>
      <c r="J22" s="57" t="s">
        <v>120</v>
      </c>
      <c r="K22" s="56">
        <v>33812</v>
      </c>
      <c r="L22" s="56" t="s">
        <v>121</v>
      </c>
      <c r="M22" s="57" t="s">
        <v>69</v>
      </c>
      <c r="N22" s="57" t="s">
        <v>122</v>
      </c>
      <c r="O22" s="58" t="s">
        <v>123</v>
      </c>
      <c r="P22" s="59" t="s">
        <v>124</v>
      </c>
    </row>
    <row r="23" spans="1:16" ht="12.75" customHeight="1" thickBot="1">
      <c r="A23" s="11" t="str">
        <f t="shared" si="0"/>
        <v>BAVM 215 </v>
      </c>
      <c r="B23" s="5" t="str">
        <f t="shared" si="1"/>
        <v>I</v>
      </c>
      <c r="C23" s="11">
        <f t="shared" si="2"/>
        <v>55482.465600000003</v>
      </c>
      <c r="D23" s="17" t="str">
        <f t="shared" si="3"/>
        <v>vis</v>
      </c>
      <c r="E23" s="55">
        <f>VLOOKUP(C23,Active!C$21:E$972,3,FALSE)</f>
        <v>37504.068403102719</v>
      </c>
      <c r="F23" s="5" t="s">
        <v>64</v>
      </c>
      <c r="G23" s="17" t="str">
        <f t="shared" si="4"/>
        <v>55482.4656</v>
      </c>
      <c r="H23" s="11">
        <f t="shared" si="5"/>
        <v>37504</v>
      </c>
      <c r="I23" s="56" t="s">
        <v>153</v>
      </c>
      <c r="J23" s="57" t="s">
        <v>154</v>
      </c>
      <c r="K23" s="56" t="s">
        <v>155</v>
      </c>
      <c r="L23" s="56" t="s">
        <v>156</v>
      </c>
      <c r="M23" s="57" t="s">
        <v>94</v>
      </c>
      <c r="N23" s="57" t="s">
        <v>122</v>
      </c>
      <c r="O23" s="58" t="s">
        <v>123</v>
      </c>
      <c r="P23" s="59" t="s">
        <v>157</v>
      </c>
    </row>
    <row r="24" spans="1:16" ht="12.75" customHeight="1" thickBot="1">
      <c r="A24" s="11" t="str">
        <f t="shared" si="0"/>
        <v>BAVM 234 </v>
      </c>
      <c r="B24" s="5" t="str">
        <f t="shared" si="1"/>
        <v>I</v>
      </c>
      <c r="C24" s="11">
        <f t="shared" si="2"/>
        <v>56505.514799999997</v>
      </c>
      <c r="D24" s="17" t="str">
        <f t="shared" si="3"/>
        <v>vis</v>
      </c>
      <c r="E24" s="55">
        <f>VLOOKUP(C24,Active!C$21:E$972,3,FALSE)</f>
        <v>38959.069640434282</v>
      </c>
      <c r="F24" s="5" t="s">
        <v>64</v>
      </c>
      <c r="G24" s="17" t="str">
        <f t="shared" si="4"/>
        <v>56505.5148</v>
      </c>
      <c r="H24" s="11">
        <f t="shared" si="5"/>
        <v>38959</v>
      </c>
      <c r="I24" s="56" t="s">
        <v>169</v>
      </c>
      <c r="J24" s="57" t="s">
        <v>170</v>
      </c>
      <c r="K24" s="56" t="s">
        <v>171</v>
      </c>
      <c r="L24" s="56" t="s">
        <v>172</v>
      </c>
      <c r="M24" s="57" t="s">
        <v>94</v>
      </c>
      <c r="N24" s="57" t="s">
        <v>122</v>
      </c>
      <c r="O24" s="58" t="s">
        <v>123</v>
      </c>
      <c r="P24" s="59" t="s">
        <v>173</v>
      </c>
    </row>
    <row r="25" spans="1:16" ht="12.75" customHeight="1" thickBot="1">
      <c r="A25" s="11" t="str">
        <f t="shared" si="0"/>
        <v>BAVM 234 </v>
      </c>
      <c r="B25" s="5" t="str">
        <f t="shared" si="1"/>
        <v>I</v>
      </c>
      <c r="C25" s="11">
        <f t="shared" si="2"/>
        <v>56588.4827</v>
      </c>
      <c r="D25" s="17" t="str">
        <f t="shared" si="3"/>
        <v>vis</v>
      </c>
      <c r="E25" s="55">
        <f>VLOOKUP(C25,Active!C$21:E$972,3,FALSE)</f>
        <v>39077.06826372513</v>
      </c>
      <c r="F25" s="5" t="s">
        <v>64</v>
      </c>
      <c r="G25" s="17" t="str">
        <f t="shared" si="4"/>
        <v>56588.4827</v>
      </c>
      <c r="H25" s="11">
        <f t="shared" si="5"/>
        <v>39077</v>
      </c>
      <c r="I25" s="56" t="s">
        <v>174</v>
      </c>
      <c r="J25" s="57" t="s">
        <v>175</v>
      </c>
      <c r="K25" s="56" t="s">
        <v>176</v>
      </c>
      <c r="L25" s="56" t="s">
        <v>177</v>
      </c>
      <c r="M25" s="57" t="s">
        <v>94</v>
      </c>
      <c r="N25" s="57" t="s">
        <v>122</v>
      </c>
      <c r="O25" s="58" t="s">
        <v>123</v>
      </c>
      <c r="P25" s="59" t="s">
        <v>173</v>
      </c>
    </row>
    <row r="26" spans="1:16" ht="12.75" customHeight="1" thickBot="1">
      <c r="A26" s="11" t="str">
        <f t="shared" si="0"/>
        <v>BAVM 238 </v>
      </c>
      <c r="B26" s="5" t="str">
        <f t="shared" si="1"/>
        <v>I</v>
      </c>
      <c r="C26" s="11">
        <f t="shared" si="2"/>
        <v>56891.530700000003</v>
      </c>
      <c r="D26" s="17" t="str">
        <f t="shared" si="3"/>
        <v>vis</v>
      </c>
      <c r="E26" s="55">
        <f>VLOOKUP(C26,Active!C$21:E$972,3,FALSE)</f>
        <v>39508.069250745953</v>
      </c>
      <c r="F26" s="5" t="s">
        <v>64</v>
      </c>
      <c r="G26" s="17" t="str">
        <f t="shared" si="4"/>
        <v>56891.5307</v>
      </c>
      <c r="H26" s="11">
        <f t="shared" si="5"/>
        <v>39508</v>
      </c>
      <c r="I26" s="56" t="s">
        <v>178</v>
      </c>
      <c r="J26" s="57" t="s">
        <v>179</v>
      </c>
      <c r="K26" s="56" t="s">
        <v>180</v>
      </c>
      <c r="L26" s="56" t="s">
        <v>181</v>
      </c>
      <c r="M26" s="57" t="s">
        <v>94</v>
      </c>
      <c r="N26" s="57" t="s">
        <v>122</v>
      </c>
      <c r="O26" s="58" t="s">
        <v>123</v>
      </c>
      <c r="P26" s="59" t="s">
        <v>182</v>
      </c>
    </row>
    <row r="27" spans="1:16" ht="12.75" customHeight="1" thickBot="1">
      <c r="A27" s="11" t="str">
        <f t="shared" si="0"/>
        <v> BBS 126 </v>
      </c>
      <c r="B27" s="5" t="str">
        <f t="shared" si="1"/>
        <v>I</v>
      </c>
      <c r="C27" s="11">
        <f t="shared" si="2"/>
        <v>52100.417000000001</v>
      </c>
      <c r="D27" s="17" t="str">
        <f t="shared" si="3"/>
        <v>vis</v>
      </c>
      <c r="E27" s="55">
        <f>VLOOKUP(C27,Active!C$21:E$972,3,FALSE)</f>
        <v>32694.050568461415</v>
      </c>
      <c r="F27" s="5" t="s">
        <v>64</v>
      </c>
      <c r="G27" s="17" t="str">
        <f t="shared" si="4"/>
        <v>52100.417</v>
      </c>
      <c r="H27" s="11">
        <f t="shared" si="5"/>
        <v>32694</v>
      </c>
      <c r="I27" s="56" t="s">
        <v>110</v>
      </c>
      <c r="J27" s="57" t="s">
        <v>111</v>
      </c>
      <c r="K27" s="56">
        <v>32694</v>
      </c>
      <c r="L27" s="56" t="s">
        <v>112</v>
      </c>
      <c r="M27" s="57" t="s">
        <v>69</v>
      </c>
      <c r="N27" s="57" t="s">
        <v>70</v>
      </c>
      <c r="O27" s="58" t="s">
        <v>113</v>
      </c>
      <c r="P27" s="58" t="s">
        <v>114</v>
      </c>
    </row>
    <row r="28" spans="1:16" ht="12.75" customHeight="1" thickBot="1">
      <c r="A28" s="11" t="str">
        <f t="shared" si="0"/>
        <v>IBVS 5741 </v>
      </c>
      <c r="B28" s="5" t="str">
        <f t="shared" si="1"/>
        <v>I</v>
      </c>
      <c r="C28" s="11">
        <f t="shared" si="2"/>
        <v>53246.519699999997</v>
      </c>
      <c r="D28" s="17" t="str">
        <f t="shared" si="3"/>
        <v>vis</v>
      </c>
      <c r="E28" s="55">
        <f>VLOOKUP(C28,Active!C$21:E$972,3,FALSE)</f>
        <v>34324.060979113267</v>
      </c>
      <c r="F28" s="5" t="s">
        <v>64</v>
      </c>
      <c r="G28" s="17" t="str">
        <f t="shared" si="4"/>
        <v>53246.5197</v>
      </c>
      <c r="H28" s="11">
        <f t="shared" si="5"/>
        <v>34324</v>
      </c>
      <c r="I28" s="56" t="s">
        <v>125</v>
      </c>
      <c r="J28" s="57" t="s">
        <v>126</v>
      </c>
      <c r="K28" s="56" t="s">
        <v>127</v>
      </c>
      <c r="L28" s="56" t="s">
        <v>128</v>
      </c>
      <c r="M28" s="57" t="s">
        <v>69</v>
      </c>
      <c r="N28" s="57" t="s">
        <v>70</v>
      </c>
      <c r="O28" s="58" t="s">
        <v>129</v>
      </c>
      <c r="P28" s="59" t="s">
        <v>130</v>
      </c>
    </row>
    <row r="29" spans="1:16" ht="12.75" customHeight="1" thickBot="1">
      <c r="A29" s="11" t="str">
        <f t="shared" si="0"/>
        <v>BAVM 193 </v>
      </c>
      <c r="B29" s="5" t="str">
        <f t="shared" si="1"/>
        <v>I</v>
      </c>
      <c r="C29" s="11">
        <f t="shared" si="2"/>
        <v>54312.46</v>
      </c>
      <c r="D29" s="17" t="str">
        <f t="shared" si="3"/>
        <v>vis</v>
      </c>
      <c r="E29" s="55">
        <f>VLOOKUP(C29,Active!C$21:E$972,3,FALSE)</f>
        <v>35840.062805244008</v>
      </c>
      <c r="F29" s="5" t="s">
        <v>64</v>
      </c>
      <c r="G29" s="17" t="str">
        <f t="shared" si="4"/>
        <v>54312.4600</v>
      </c>
      <c r="H29" s="11">
        <f t="shared" si="5"/>
        <v>35840</v>
      </c>
      <c r="I29" s="56" t="s">
        <v>131</v>
      </c>
      <c r="J29" s="57" t="s">
        <v>132</v>
      </c>
      <c r="K29" s="56" t="s">
        <v>133</v>
      </c>
      <c r="L29" s="56" t="s">
        <v>134</v>
      </c>
      <c r="M29" s="57" t="s">
        <v>94</v>
      </c>
      <c r="N29" s="57" t="s">
        <v>122</v>
      </c>
      <c r="O29" s="58" t="s">
        <v>123</v>
      </c>
      <c r="P29" s="59" t="s">
        <v>135</v>
      </c>
    </row>
    <row r="30" spans="1:16" ht="12.75" customHeight="1" thickBot="1">
      <c r="A30" s="11" t="str">
        <f t="shared" si="0"/>
        <v>OEJV 0107 </v>
      </c>
      <c r="B30" s="5" t="str">
        <f t="shared" si="1"/>
        <v>I</v>
      </c>
      <c r="C30" s="11">
        <f t="shared" si="2"/>
        <v>54319.491499999996</v>
      </c>
      <c r="D30" s="17" t="str">
        <f t="shared" si="3"/>
        <v>vis</v>
      </c>
      <c r="E30" s="55" t="e">
        <f>VLOOKUP(C30,Active!C$21:E$972,3,FALSE)</f>
        <v>#N/A</v>
      </c>
      <c r="F30" s="5" t="s">
        <v>64</v>
      </c>
      <c r="G30" s="17" t="str">
        <f t="shared" si="4"/>
        <v>54319.4915</v>
      </c>
      <c r="H30" s="11">
        <f t="shared" si="5"/>
        <v>35850</v>
      </c>
      <c r="I30" s="56" t="s">
        <v>136</v>
      </c>
      <c r="J30" s="57" t="s">
        <v>137</v>
      </c>
      <c r="K30" s="56" t="s">
        <v>138</v>
      </c>
      <c r="L30" s="56" t="s">
        <v>139</v>
      </c>
      <c r="M30" s="57" t="s">
        <v>94</v>
      </c>
      <c r="N30" s="57" t="s">
        <v>140</v>
      </c>
      <c r="O30" s="58" t="s">
        <v>141</v>
      </c>
      <c r="P30" s="59" t="s">
        <v>142</v>
      </c>
    </row>
    <row r="31" spans="1:16" ht="12.75" customHeight="1" thickBot="1">
      <c r="A31" s="11" t="str">
        <f t="shared" si="0"/>
        <v>BAVM 203 </v>
      </c>
      <c r="B31" s="5" t="str">
        <f t="shared" si="1"/>
        <v>I</v>
      </c>
      <c r="C31" s="11">
        <f t="shared" si="2"/>
        <v>54658.399899999997</v>
      </c>
      <c r="D31" s="17" t="str">
        <f t="shared" si="3"/>
        <v>vis</v>
      </c>
      <c r="E31" s="55">
        <f>VLOOKUP(C31,Active!C$21:E$972,3,FALSE)</f>
        <v>36332.065518840143</v>
      </c>
      <c r="F31" s="5" t="s">
        <v>64</v>
      </c>
      <c r="G31" s="17" t="str">
        <f t="shared" si="4"/>
        <v>54658.3999</v>
      </c>
      <c r="H31" s="11">
        <f t="shared" si="5"/>
        <v>36332</v>
      </c>
      <c r="I31" s="56" t="s">
        <v>143</v>
      </c>
      <c r="J31" s="57" t="s">
        <v>144</v>
      </c>
      <c r="K31" s="56" t="s">
        <v>145</v>
      </c>
      <c r="L31" s="56" t="s">
        <v>146</v>
      </c>
      <c r="M31" s="57" t="s">
        <v>94</v>
      </c>
      <c r="N31" s="57" t="s">
        <v>122</v>
      </c>
      <c r="O31" s="58" t="s">
        <v>123</v>
      </c>
      <c r="P31" s="59" t="s">
        <v>147</v>
      </c>
    </row>
    <row r="32" spans="1:16" ht="12.75" customHeight="1" thickBot="1">
      <c r="A32" s="11" t="str">
        <f t="shared" si="0"/>
        <v>BAVM 212 </v>
      </c>
      <c r="B32" s="5" t="str">
        <f t="shared" si="1"/>
        <v>I</v>
      </c>
      <c r="C32" s="11">
        <f t="shared" si="2"/>
        <v>55032.462800000001</v>
      </c>
      <c r="D32" s="17" t="str">
        <f t="shared" si="3"/>
        <v>vis</v>
      </c>
      <c r="E32" s="55">
        <f>VLOOKUP(C32,Active!C$21:E$972,3,FALSE)</f>
        <v>36864.065331107086</v>
      </c>
      <c r="F32" s="5" t="s">
        <v>64</v>
      </c>
      <c r="G32" s="17" t="str">
        <f t="shared" si="4"/>
        <v>55032.4628</v>
      </c>
      <c r="H32" s="11">
        <f t="shared" si="5"/>
        <v>36864</v>
      </c>
      <c r="I32" s="56" t="s">
        <v>148</v>
      </c>
      <c r="J32" s="57" t="s">
        <v>149</v>
      </c>
      <c r="K32" s="56" t="s">
        <v>150</v>
      </c>
      <c r="L32" s="56" t="s">
        <v>151</v>
      </c>
      <c r="M32" s="57" t="s">
        <v>94</v>
      </c>
      <c r="N32" s="57" t="s">
        <v>122</v>
      </c>
      <c r="O32" s="58" t="s">
        <v>123</v>
      </c>
      <c r="P32" s="59" t="s">
        <v>152</v>
      </c>
    </row>
    <row r="33" spans="1:16" ht="12.75" customHeight="1" thickBot="1">
      <c r="A33" s="11" t="str">
        <f t="shared" si="0"/>
        <v>BAVM 225 </v>
      </c>
      <c r="B33" s="5" t="str">
        <f t="shared" si="1"/>
        <v>I</v>
      </c>
      <c r="C33" s="11">
        <f t="shared" si="2"/>
        <v>55799.573600000003</v>
      </c>
      <c r="D33" s="17" t="str">
        <f t="shared" si="3"/>
        <v>vis</v>
      </c>
      <c r="E33" s="55">
        <f>VLOOKUP(C33,Active!C$21:E$972,3,FALSE)</f>
        <v>37955.06580612863</v>
      </c>
      <c r="F33" s="5" t="s">
        <v>64</v>
      </c>
      <c r="G33" s="17" t="str">
        <f t="shared" si="4"/>
        <v>55799.5736</v>
      </c>
      <c r="H33" s="11">
        <f t="shared" si="5"/>
        <v>37955</v>
      </c>
      <c r="I33" s="56" t="s">
        <v>158</v>
      </c>
      <c r="J33" s="57" t="s">
        <v>159</v>
      </c>
      <c r="K33" s="56" t="s">
        <v>160</v>
      </c>
      <c r="L33" s="56" t="s">
        <v>161</v>
      </c>
      <c r="M33" s="57" t="s">
        <v>94</v>
      </c>
      <c r="N33" s="57" t="s">
        <v>122</v>
      </c>
      <c r="O33" s="58" t="s">
        <v>123</v>
      </c>
      <c r="P33" s="59" t="s">
        <v>162</v>
      </c>
    </row>
    <row r="34" spans="1:16" ht="12.75" customHeight="1" thickBot="1">
      <c r="A34" s="11" t="str">
        <f t="shared" si="0"/>
        <v>IBVS 6011 </v>
      </c>
      <c r="B34" s="5" t="str">
        <f t="shared" si="1"/>
        <v>I</v>
      </c>
      <c r="C34" s="11">
        <f t="shared" si="2"/>
        <v>55853.718000000001</v>
      </c>
      <c r="D34" s="17" t="str">
        <f t="shared" si="3"/>
        <v>vis</v>
      </c>
      <c r="E34" s="55">
        <f>VLOOKUP(C34,Active!C$21:E$972,3,FALSE)</f>
        <v>38032.071065498931</v>
      </c>
      <c r="F34" s="5" t="s">
        <v>64</v>
      </c>
      <c r="G34" s="17" t="str">
        <f t="shared" si="4"/>
        <v>55853.7180</v>
      </c>
      <c r="H34" s="11">
        <f t="shared" si="5"/>
        <v>38032</v>
      </c>
      <c r="I34" s="56" t="s">
        <v>163</v>
      </c>
      <c r="J34" s="57" t="s">
        <v>164</v>
      </c>
      <c r="K34" s="56" t="s">
        <v>165</v>
      </c>
      <c r="L34" s="56" t="s">
        <v>166</v>
      </c>
      <c r="M34" s="57" t="s">
        <v>94</v>
      </c>
      <c r="N34" s="57" t="s">
        <v>64</v>
      </c>
      <c r="O34" s="58" t="s">
        <v>167</v>
      </c>
      <c r="P34" s="59" t="s">
        <v>168</v>
      </c>
    </row>
    <row r="35" spans="1:16">
      <c r="B35" s="5"/>
      <c r="F35" s="5"/>
    </row>
    <row r="36" spans="1:16">
      <c r="B36" s="5"/>
      <c r="F36" s="5"/>
    </row>
    <row r="37" spans="1:16">
      <c r="B37" s="5"/>
      <c r="F37" s="5"/>
    </row>
    <row r="38" spans="1:16">
      <c r="B38" s="5"/>
      <c r="F38" s="5"/>
    </row>
    <row r="39" spans="1:16">
      <c r="B39" s="5"/>
      <c r="F39" s="5"/>
    </row>
    <row r="40" spans="1:16">
      <c r="B40" s="5"/>
      <c r="F40" s="5"/>
    </row>
    <row r="41" spans="1:16">
      <c r="B41" s="5"/>
      <c r="F41" s="5"/>
    </row>
    <row r="42" spans="1:16">
      <c r="B42" s="5"/>
      <c r="F42" s="5"/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</sheetData>
  <phoneticPr fontId="8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4887"/>
    <hyperlink ref="P14" r:id="rId4" display="http://www.konkoly.hu/cgi-bin/IBVS?4888"/>
    <hyperlink ref="P15" r:id="rId5" display="http://www.konkoly.hu/cgi-bin/IBVS?5263"/>
    <hyperlink ref="P16" r:id="rId6" display="http://www.konkoly.hu/cgi-bin/IBVS?5263"/>
    <hyperlink ref="P17" r:id="rId7" display="http://var.astro.cz/oejv/issues/oejv0074.pdf"/>
    <hyperlink ref="P18" r:id="rId8" display="http://www.konkoly.hu/cgi-bin/IBVS?5287"/>
    <hyperlink ref="P19" r:id="rId9" display="http://var.astro.cz/oejv/issues/oejv0074.pdf"/>
    <hyperlink ref="P20" r:id="rId10" display="http://www.konkoly.hu/cgi-bin/IBVS?5287"/>
    <hyperlink ref="P21" r:id="rId11" display="http://www.konkoly.hu/cgi-bin/IBVS?5583"/>
    <hyperlink ref="P22" r:id="rId12" display="http://www.bav-astro.de/sfs/BAVM_link.php?BAVMnr=172"/>
    <hyperlink ref="P28" r:id="rId13" display="http://www.konkoly.hu/cgi-bin/IBVS?5741"/>
    <hyperlink ref="P29" r:id="rId14" display="http://www.bav-astro.de/sfs/BAVM_link.php?BAVMnr=193"/>
    <hyperlink ref="P30" r:id="rId15" display="http://var.astro.cz/oejv/issues/oejv0107.pdf"/>
    <hyperlink ref="P31" r:id="rId16" display="http://www.bav-astro.de/sfs/BAVM_link.php?BAVMnr=203"/>
    <hyperlink ref="P32" r:id="rId17" display="http://www.bav-astro.de/sfs/BAVM_link.php?BAVMnr=212"/>
    <hyperlink ref="P23" r:id="rId18" display="http://www.bav-astro.de/sfs/BAVM_link.php?BAVMnr=215"/>
    <hyperlink ref="P33" r:id="rId19" display="http://www.bav-astro.de/sfs/BAVM_link.php?BAVMnr=225"/>
    <hyperlink ref="P34" r:id="rId20" display="http://www.konkoly.hu/cgi-bin/IBVS?6011"/>
    <hyperlink ref="P24" r:id="rId21" display="http://www.bav-astro.de/sfs/BAVM_link.php?BAVMnr=234"/>
    <hyperlink ref="P25" r:id="rId22" display="http://www.bav-astro.de/sfs/BAVM_link.php?BAVMnr=234"/>
    <hyperlink ref="P26" r:id="rId23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2024-02-04T04:41:36Z</dcterms:modified>
</cp:coreProperties>
</file>