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6A016AA-F011-4F92-A848-6DC0730CF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27" i="1" l="1"/>
  <c r="J27" i="1" s="1"/>
  <c r="G28" i="1"/>
  <c r="J28" i="1" s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/>
  <c r="G36" i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/>
  <c r="G40" i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/>
  <c r="G43" i="1" s="1"/>
  <c r="K43" i="1" s="1"/>
  <c r="Q43" i="1"/>
  <c r="E44" i="1"/>
  <c r="F44" i="1"/>
  <c r="G44" i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/>
  <c r="G47" i="1" s="1"/>
  <c r="K47" i="1" s="1"/>
  <c r="Q47" i="1"/>
  <c r="E48" i="1"/>
  <c r="F48" i="1"/>
  <c r="G48" i="1"/>
  <c r="K48" i="1" s="1"/>
  <c r="Q48" i="1"/>
  <c r="F14" i="1"/>
  <c r="C7" i="1"/>
  <c r="E27" i="1"/>
  <c r="F27" i="1" s="1"/>
  <c r="E28" i="1"/>
  <c r="F28" i="1" s="1"/>
  <c r="Q25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9" i="1"/>
  <c r="F29" i="1" s="1"/>
  <c r="G29" i="1" s="1"/>
  <c r="J29" i="1" s="1"/>
  <c r="G11" i="1"/>
  <c r="F11" i="1"/>
  <c r="Q24" i="1"/>
  <c r="Q23" i="1"/>
  <c r="Q22" i="1"/>
  <c r="G13" i="2"/>
  <c r="C13" i="2"/>
  <c r="E13" i="2"/>
  <c r="C21" i="1"/>
  <c r="E21" i="1"/>
  <c r="F21" i="1" s="1"/>
  <c r="G21" i="1" s="1"/>
  <c r="H21" i="1" s="1"/>
  <c r="G12" i="2"/>
  <c r="C12" i="2"/>
  <c r="E12" i="2"/>
  <c r="G11" i="2"/>
  <c r="C11" i="2"/>
  <c r="E11" i="2"/>
  <c r="G17" i="2"/>
  <c r="C17" i="2"/>
  <c r="G16" i="2"/>
  <c r="C16" i="2"/>
  <c r="E16" i="2"/>
  <c r="G15" i="2"/>
  <c r="C15" i="2"/>
  <c r="E15" i="2"/>
  <c r="G14" i="2"/>
  <c r="C14" i="2"/>
  <c r="E14" i="2"/>
  <c r="H13" i="2"/>
  <c r="D13" i="2"/>
  <c r="B13" i="2"/>
  <c r="A13" i="2"/>
  <c r="H12" i="2"/>
  <c r="D12" i="2"/>
  <c r="B12" i="2"/>
  <c r="A12" i="2"/>
  <c r="H11" i="2"/>
  <c r="D11" i="2"/>
  <c r="B11" i="2"/>
  <c r="A11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Q28" i="1"/>
  <c r="Q27" i="1"/>
  <c r="Q29" i="1"/>
  <c r="C17" i="1"/>
  <c r="Q26" i="1"/>
  <c r="Q21" i="1"/>
  <c r="C12" i="1"/>
  <c r="E17" i="2" l="1"/>
  <c r="F15" i="1"/>
  <c r="C16" i="1"/>
  <c r="D18" i="1" s="1"/>
  <c r="C11" i="1"/>
  <c r="O32" i="1" l="1"/>
  <c r="O36" i="1"/>
  <c r="O40" i="1"/>
  <c r="O44" i="1"/>
  <c r="O48" i="1"/>
  <c r="O31" i="1"/>
  <c r="O35" i="1"/>
  <c r="O39" i="1"/>
  <c r="O43" i="1"/>
  <c r="O47" i="1"/>
  <c r="O30" i="1"/>
  <c r="O34" i="1"/>
  <c r="O38" i="1"/>
  <c r="O42" i="1"/>
  <c r="O46" i="1"/>
  <c r="O33" i="1"/>
  <c r="O37" i="1"/>
  <c r="O41" i="1"/>
  <c r="O45" i="1"/>
  <c r="O22" i="1"/>
  <c r="O27" i="1"/>
  <c r="O21" i="1"/>
  <c r="O25" i="1"/>
  <c r="C15" i="1"/>
  <c r="O26" i="1"/>
  <c r="O29" i="1"/>
  <c r="O23" i="1"/>
  <c r="O24" i="1"/>
  <c r="O28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<sst xmlns="http://schemas.openxmlformats.org/spreadsheetml/2006/main" count="173" uniqueCount="99">
  <si>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</si>
  <si>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</si>
  <si>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</si>
  <si>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</si>
  <si>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</si>
  <si>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</si>
  <si>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</si>
  <si>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</si>
  <si>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</si>
  <si>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</si>
  <si>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</si>
  <si>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</si>
  <si>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</si>
  <si>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</si>
  <si>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</si>
  <si>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</si>
  <si>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</si>
  <si>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</si>
  <si>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</si>
  <si>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</si>
  <si>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</si>
  <si>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</si>
  <si>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</si>
  <si>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</si>
  <si>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</si>
  <si>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</si>
  <si>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</si>
  <si>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</si>
  <si>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</si>
  <si>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EA</t>
  </si>
  <si>
    <t>IBVS 5643</t>
  </si>
  <si>
    <t># of data points:</t>
  </si>
  <si>
    <t>V1457 Cyg / na</t>
  </si>
  <si>
    <t xml:space="preserve">19 54 42.9 +33 31 57 </t>
  </si>
  <si>
    <t>IBVS 6070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</si>
  <si>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</si>
  <si>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</si>
  <si>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</si>
  <si>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</si>
  <si>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</si>
  <si>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</si>
  <si>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</si>
  <si>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</si>
  <si>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OEJV 0160</t>
  </si>
  <si>
    <t>BAD?</t>
  </si>
  <si>
    <t>IBVS 6094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</si>
  <si>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</si>
  <si>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</si>
  <si>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</si>
  <si>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</si>
  <si>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</si>
  <si>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</si>
  <si>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</si>
  <si>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</si>
  <si>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</si>
  <si>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</si>
  <si>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</si>
  <si>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</si>
  <si>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2436848.355 </t>
  </si>
  <si>
    <t> 06.10.1959 20:31 </t>
  </si>
  <si>
    <t> 0.020 </t>
  </si>
  <si>
    <t>P </t>
  </si>
  <si>
    <t> Pinto &amp; Romano </t>
  </si>
  <si>
    <t> MSAI 43.145 </t>
  </si>
  <si>
    <t>2437259.258 </t>
  </si>
  <si>
    <t> 20.11.1960 18:11 </t>
  </si>
  <si>
    <t> 0.019 </t>
  </si>
  <si>
    <t>2437524.498 </t>
  </si>
  <si>
    <t> 12.08.1961 23:57 </t>
  </si>
  <si>
    <t> -0.016 </t>
  </si>
  <si>
    <t>2438342.237 </t>
  </si>
  <si>
    <t> 08.11.1963 17:41 </t>
  </si>
  <si>
    <t> 0.018 </t>
  </si>
  <si>
    <t>2452901.3379 </t>
  </si>
  <si>
    <t> 18.09.2003 20:06 </t>
  </si>
  <si>
    <t> 0.0688 </t>
  </si>
  <si>
    <t>E </t>
  </si>
  <si>
    <t>o</t>
  </si>
  <si>
    <t> F.Agerer </t>
  </si>
  <si>
    <t>BAVM 172 </t>
  </si>
  <si>
    <t>2456137.47346 </t>
  </si>
  <si>
    <t> 28.07.2012 23:21 </t>
  </si>
  <si>
    <t> -0.08964 </t>
  </si>
  <si>
    <t>C </t>
  </si>
  <si>
    <t> N.Ruocco </t>
  </si>
  <si>
    <t>OEJV 0160 </t>
  </si>
  <si>
    <t>2456137.4737 </t>
  </si>
  <si>
    <t> 28.07.2012 23:22 </t>
  </si>
  <si>
    <t> -0.0894 </t>
  </si>
  <si>
    <t>IBVS 6094 </t>
  </si>
  <si>
    <t>Next ToM-P</t>
  </si>
  <si>
    <t>Next ToM-S</t>
  </si>
  <si>
    <t xml:space="preserve">Mag p </t>
  </si>
  <si>
    <t>14.50-15.40</t>
  </si>
  <si>
    <t>BAV 91 Feb 2024</t>
  </si>
  <si>
    <t>VSX</t>
  </si>
  <si>
    <t>VSX ?</t>
  </si>
  <si>
    <t>Vis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</si>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</sst>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0" fontId="11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8" fillId="0" borderId="0" xfId="0" applyFont="1">
      <alignment vertical="top"/>
    </xf>
    <xf numFmtId="0" fontId="10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4" xfId="0" applyFont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14" xfId="0" applyFont="1" applyBorder="1" applyAlignment="1">
      <alignment horizontal="right" vertical="center"/>
    </xf>
    <xf numFmtId="22" fontId="22" fillId="0" borderId="14" xfId="0" applyNumberFormat="1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0" fontId="21" fillId="3" borderId="12" xfId="0" applyFont="1" applyFill="1" applyBorder="1" applyAlignment="1">
      <alignment horizontal="right" vertical="center"/>
    </xf>
    <xf numFmtId="0" fontId="21" fillId="3" borderId="13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22" fontId="24" fillId="0" borderId="15" xfId="0" applyNumberFormat="1" applyFont="1" applyBorder="1" applyAlignment="1">
      <alignment horizontal="right" vertical="center"/>
    </xf>
    <xf numFmtId="22" fontId="24" fillId="0" borderId="1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1" fillId="0" borderId="0" xfId="0" applyFont="1" applyAlignment="1"/>
    <xf numFmtId="0" fontId="20" fillId="0" borderId="0" xfId="0" applyNumberFormat="1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V1457 Cyg - O-C Diagr.</a:t>
            </a:r>
          </a:p>
        </c:rich>
      </c:tx>
      <c:layout>
        <c:manualLayout>
          <c:xMode val="edge"/>
          <c:yMode val="edge"/>
          <c:x val="0.3570278028655141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601</c:v>
                </c:pt>
                <c:pt idx="3">
                  <c:v>989</c:v>
                </c:pt>
                <c:pt idx="4">
                  <c:v>2185</c:v>
                </c:pt>
                <c:pt idx="5">
                  <c:v>23478.5</c:v>
                </c:pt>
                <c:pt idx="6">
                  <c:v>28211.5</c:v>
                </c:pt>
                <c:pt idx="7">
                  <c:v>28211.5</c:v>
                </c:pt>
                <c:pt idx="8">
                  <c:v>28255</c:v>
                </c:pt>
                <c:pt idx="9">
                  <c:v>30853</c:v>
                </c:pt>
                <c:pt idx="10">
                  <c:v>30902.5</c:v>
                </c:pt>
                <c:pt idx="11">
                  <c:v>30953.5</c:v>
                </c:pt>
                <c:pt idx="12">
                  <c:v>30989</c:v>
                </c:pt>
                <c:pt idx="13">
                  <c:v>30990</c:v>
                </c:pt>
                <c:pt idx="14">
                  <c:v>30996</c:v>
                </c:pt>
                <c:pt idx="15">
                  <c:v>31009</c:v>
                </c:pt>
                <c:pt idx="16">
                  <c:v>31045.5</c:v>
                </c:pt>
                <c:pt idx="17">
                  <c:v>31407.5</c:v>
                </c:pt>
                <c:pt idx="18">
                  <c:v>31416.5</c:v>
                </c:pt>
                <c:pt idx="19">
                  <c:v>31506.5</c:v>
                </c:pt>
                <c:pt idx="20">
                  <c:v>31969</c:v>
                </c:pt>
                <c:pt idx="21">
                  <c:v>32461.5</c:v>
                </c:pt>
                <c:pt idx="22">
                  <c:v>32495.5</c:v>
                </c:pt>
                <c:pt idx="23">
                  <c:v>33016.5</c:v>
                </c:pt>
                <c:pt idx="24">
                  <c:v>33536.5</c:v>
                </c:pt>
                <c:pt idx="25">
                  <c:v>33548.5</c:v>
                </c:pt>
                <c:pt idx="26">
                  <c:v>34085.5</c:v>
                </c:pt>
                <c:pt idx="27">
                  <c:v>34116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4B-4886-84AA-C6B88ED160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601</c:v>
                </c:pt>
                <c:pt idx="3">
                  <c:v>989</c:v>
                </c:pt>
                <c:pt idx="4">
                  <c:v>2185</c:v>
                </c:pt>
                <c:pt idx="5">
                  <c:v>23478.5</c:v>
                </c:pt>
                <c:pt idx="6">
                  <c:v>28211.5</c:v>
                </c:pt>
                <c:pt idx="7">
                  <c:v>28211.5</c:v>
                </c:pt>
                <c:pt idx="8">
                  <c:v>28255</c:v>
                </c:pt>
                <c:pt idx="9">
                  <c:v>30853</c:v>
                </c:pt>
                <c:pt idx="10">
                  <c:v>30902.5</c:v>
                </c:pt>
                <c:pt idx="11">
                  <c:v>30953.5</c:v>
                </c:pt>
                <c:pt idx="12">
                  <c:v>30989</c:v>
                </c:pt>
                <c:pt idx="13">
                  <c:v>30990</c:v>
                </c:pt>
                <c:pt idx="14">
                  <c:v>30996</c:v>
                </c:pt>
                <c:pt idx="15">
                  <c:v>31009</c:v>
                </c:pt>
                <c:pt idx="16">
                  <c:v>31045.5</c:v>
                </c:pt>
                <c:pt idx="17">
                  <c:v>31407.5</c:v>
                </c:pt>
                <c:pt idx="18">
                  <c:v>31416.5</c:v>
                </c:pt>
                <c:pt idx="19">
                  <c:v>31506.5</c:v>
                </c:pt>
                <c:pt idx="20">
                  <c:v>31969</c:v>
                </c:pt>
                <c:pt idx="21">
                  <c:v>32461.5</c:v>
                </c:pt>
                <c:pt idx="22">
                  <c:v>32495.5</c:v>
                </c:pt>
                <c:pt idx="23">
                  <c:v>33016.5</c:v>
                </c:pt>
                <c:pt idx="24">
                  <c:v>33536.5</c:v>
                </c:pt>
                <c:pt idx="25">
                  <c:v>33548.5</c:v>
                </c:pt>
                <c:pt idx="26">
                  <c:v>34085.5</c:v>
                </c:pt>
                <c:pt idx="27">
                  <c:v>34116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2.0000000004074536E-2</c:v>
                </c:pt>
                <c:pt idx="2">
                  <c:v>-5.3299999854061753E-4</c:v>
                </c:pt>
                <c:pt idx="3">
                  <c:v>-4.8936999999568798E-2</c:v>
                </c:pt>
                <c:pt idx="4">
                  <c:v>-5.4604999997536652E-2</c:v>
                </c:pt>
                <c:pt idx="5">
                  <c:v>-2.2340499999700114E-2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4B-4886-84AA-C6B88ED160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601</c:v>
                </c:pt>
                <c:pt idx="3">
                  <c:v>989</c:v>
                </c:pt>
                <c:pt idx="4">
                  <c:v>2185</c:v>
                </c:pt>
                <c:pt idx="5">
                  <c:v>23478.5</c:v>
                </c:pt>
                <c:pt idx="6">
                  <c:v>28211.5</c:v>
                </c:pt>
                <c:pt idx="7">
                  <c:v>28211.5</c:v>
                </c:pt>
                <c:pt idx="8">
                  <c:v>28255</c:v>
                </c:pt>
                <c:pt idx="9">
                  <c:v>30853</c:v>
                </c:pt>
                <c:pt idx="10">
                  <c:v>30902.5</c:v>
                </c:pt>
                <c:pt idx="11">
                  <c:v>30953.5</c:v>
                </c:pt>
                <c:pt idx="12">
                  <c:v>30989</c:v>
                </c:pt>
                <c:pt idx="13">
                  <c:v>30990</c:v>
                </c:pt>
                <c:pt idx="14">
                  <c:v>30996</c:v>
                </c:pt>
                <c:pt idx="15">
                  <c:v>31009</c:v>
                </c:pt>
                <c:pt idx="16">
                  <c:v>31045.5</c:v>
                </c:pt>
                <c:pt idx="17">
                  <c:v>31407.5</c:v>
                </c:pt>
                <c:pt idx="18">
                  <c:v>31416.5</c:v>
                </c:pt>
                <c:pt idx="19">
                  <c:v>31506.5</c:v>
                </c:pt>
                <c:pt idx="20">
                  <c:v>31969</c:v>
                </c:pt>
                <c:pt idx="21">
                  <c:v>32461.5</c:v>
                </c:pt>
                <c:pt idx="22">
                  <c:v>32495.5</c:v>
                </c:pt>
                <c:pt idx="23">
                  <c:v>33016.5</c:v>
                </c:pt>
                <c:pt idx="24">
                  <c:v>33536.5</c:v>
                </c:pt>
                <c:pt idx="25">
                  <c:v>33548.5</c:v>
                </c:pt>
                <c:pt idx="26">
                  <c:v>34085.5</c:v>
                </c:pt>
                <c:pt idx="27">
                  <c:v>34116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4.9304999993182719E-3</c:v>
                </c:pt>
                <c:pt idx="7">
                  <c:v>5.1705000005313195E-3</c:v>
                </c:pt>
                <c:pt idx="8">
                  <c:v>0.15198499999678461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4B-4886-84AA-C6B88ED160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601</c:v>
                </c:pt>
                <c:pt idx="3">
                  <c:v>989</c:v>
                </c:pt>
                <c:pt idx="4">
                  <c:v>2185</c:v>
                </c:pt>
                <c:pt idx="5">
                  <c:v>23478.5</c:v>
                </c:pt>
                <c:pt idx="6">
                  <c:v>28211.5</c:v>
                </c:pt>
                <c:pt idx="7">
                  <c:v>28211.5</c:v>
                </c:pt>
                <c:pt idx="8">
                  <c:v>28255</c:v>
                </c:pt>
                <c:pt idx="9">
                  <c:v>30853</c:v>
                </c:pt>
                <c:pt idx="10">
                  <c:v>30902.5</c:v>
                </c:pt>
                <c:pt idx="11">
                  <c:v>30953.5</c:v>
                </c:pt>
                <c:pt idx="12">
                  <c:v>30989</c:v>
                </c:pt>
                <c:pt idx="13">
                  <c:v>30990</c:v>
                </c:pt>
                <c:pt idx="14">
                  <c:v>30996</c:v>
                </c:pt>
                <c:pt idx="15">
                  <c:v>31009</c:v>
                </c:pt>
                <c:pt idx="16">
                  <c:v>31045.5</c:v>
                </c:pt>
                <c:pt idx="17">
                  <c:v>31407.5</c:v>
                </c:pt>
                <c:pt idx="18">
                  <c:v>31416.5</c:v>
                </c:pt>
                <c:pt idx="19">
                  <c:v>31506.5</c:v>
                </c:pt>
                <c:pt idx="20">
                  <c:v>31969</c:v>
                </c:pt>
                <c:pt idx="21">
                  <c:v>32461.5</c:v>
                </c:pt>
                <c:pt idx="22">
                  <c:v>32495.5</c:v>
                </c:pt>
                <c:pt idx="23">
                  <c:v>33016.5</c:v>
                </c:pt>
                <c:pt idx="24">
                  <c:v>33536.5</c:v>
                </c:pt>
                <c:pt idx="25">
                  <c:v>33548.5</c:v>
                </c:pt>
                <c:pt idx="26">
                  <c:v>34085.5</c:v>
                </c:pt>
                <c:pt idx="27">
                  <c:v>34116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9">
                  <c:v>3.2850999996298924E-2</c:v>
                </c:pt>
                <c:pt idx="10">
                  <c:v>0.13856749999831663</c:v>
                </c:pt>
                <c:pt idx="11">
                  <c:v>9.2484499997226521E-2</c:v>
                </c:pt>
                <c:pt idx="12">
                  <c:v>-9.5336999998835381E-2</c:v>
                </c:pt>
                <c:pt idx="13">
                  <c:v>8.923000000504544E-2</c:v>
                </c:pt>
                <c:pt idx="14">
                  <c:v>4.7131999999692198E-2</c:v>
                </c:pt>
                <c:pt idx="15">
                  <c:v>0.15900300000066636</c:v>
                </c:pt>
                <c:pt idx="16">
                  <c:v>0.15994850000424776</c:v>
                </c:pt>
                <c:pt idx="17">
                  <c:v>-0.11449749999883352</c:v>
                </c:pt>
                <c:pt idx="18">
                  <c:v>-0.17079450000892393</c:v>
                </c:pt>
                <c:pt idx="19">
                  <c:v>9.8935499998333398E-2</c:v>
                </c:pt>
                <c:pt idx="20">
                  <c:v>-0.11447700000280747</c:v>
                </c:pt>
                <c:pt idx="21">
                  <c:v>5.0220500001159962E-2</c:v>
                </c:pt>
                <c:pt idx="22">
                  <c:v>1.7598499995074235E-2</c:v>
                </c:pt>
                <c:pt idx="23">
                  <c:v>-0.14929449999908684</c:v>
                </c:pt>
                <c:pt idx="24">
                  <c:v>7.5945500000671018E-2</c:v>
                </c:pt>
                <c:pt idx="25">
                  <c:v>-3.0505000031553209E-3</c:v>
                </c:pt>
                <c:pt idx="26">
                  <c:v>-8.4071499994024634E-2</c:v>
                </c:pt>
                <c:pt idx="27">
                  <c:v>-4.4628000003285706E-2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4B-4886-84AA-C6B88ED160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601</c:v>
                </c:pt>
                <c:pt idx="3">
                  <c:v>989</c:v>
                </c:pt>
                <c:pt idx="4">
                  <c:v>2185</c:v>
                </c:pt>
                <c:pt idx="5">
                  <c:v>23478.5</c:v>
                </c:pt>
                <c:pt idx="6">
                  <c:v>28211.5</c:v>
                </c:pt>
                <c:pt idx="7">
                  <c:v>28211.5</c:v>
                </c:pt>
                <c:pt idx="8">
                  <c:v>28255</c:v>
                </c:pt>
                <c:pt idx="9">
                  <c:v>30853</c:v>
                </c:pt>
                <c:pt idx="10">
                  <c:v>30902.5</c:v>
                </c:pt>
                <c:pt idx="11">
                  <c:v>30953.5</c:v>
                </c:pt>
                <c:pt idx="12">
                  <c:v>30989</c:v>
                </c:pt>
                <c:pt idx="13">
                  <c:v>30990</c:v>
                </c:pt>
                <c:pt idx="14">
                  <c:v>30996</c:v>
                </c:pt>
                <c:pt idx="15">
                  <c:v>31009</c:v>
                </c:pt>
                <c:pt idx="16">
                  <c:v>31045.5</c:v>
                </c:pt>
                <c:pt idx="17">
                  <c:v>31407.5</c:v>
                </c:pt>
                <c:pt idx="18">
                  <c:v>31416.5</c:v>
                </c:pt>
                <c:pt idx="19">
                  <c:v>31506.5</c:v>
                </c:pt>
                <c:pt idx="20">
                  <c:v>31969</c:v>
                </c:pt>
                <c:pt idx="21">
                  <c:v>32461.5</c:v>
                </c:pt>
                <c:pt idx="22">
                  <c:v>32495.5</c:v>
                </c:pt>
                <c:pt idx="23">
                  <c:v>33016.5</c:v>
                </c:pt>
                <c:pt idx="24">
                  <c:v>33536.5</c:v>
                </c:pt>
                <c:pt idx="25">
                  <c:v>33548.5</c:v>
                </c:pt>
                <c:pt idx="26">
                  <c:v>34085.5</c:v>
                </c:pt>
                <c:pt idx="27">
                  <c:v>34116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4B-4886-84AA-C6B88ED160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601</c:v>
                </c:pt>
                <c:pt idx="3">
                  <c:v>989</c:v>
                </c:pt>
                <c:pt idx="4">
                  <c:v>2185</c:v>
                </c:pt>
                <c:pt idx="5">
                  <c:v>23478.5</c:v>
                </c:pt>
                <c:pt idx="6">
                  <c:v>28211.5</c:v>
                </c:pt>
                <c:pt idx="7">
                  <c:v>28211.5</c:v>
                </c:pt>
                <c:pt idx="8">
                  <c:v>28255</c:v>
                </c:pt>
                <c:pt idx="9">
                  <c:v>30853</c:v>
                </c:pt>
                <c:pt idx="10">
                  <c:v>30902.5</c:v>
                </c:pt>
                <c:pt idx="11">
                  <c:v>30953.5</c:v>
                </c:pt>
                <c:pt idx="12">
                  <c:v>30989</c:v>
                </c:pt>
                <c:pt idx="13">
                  <c:v>30990</c:v>
                </c:pt>
                <c:pt idx="14">
                  <c:v>30996</c:v>
                </c:pt>
                <c:pt idx="15">
                  <c:v>31009</c:v>
                </c:pt>
                <c:pt idx="16">
                  <c:v>31045.5</c:v>
                </c:pt>
                <c:pt idx="17">
                  <c:v>31407.5</c:v>
                </c:pt>
                <c:pt idx="18">
                  <c:v>31416.5</c:v>
                </c:pt>
                <c:pt idx="19">
                  <c:v>31506.5</c:v>
                </c:pt>
                <c:pt idx="20">
                  <c:v>31969</c:v>
                </c:pt>
                <c:pt idx="21">
                  <c:v>32461.5</c:v>
                </c:pt>
                <c:pt idx="22">
                  <c:v>32495.5</c:v>
                </c:pt>
                <c:pt idx="23">
                  <c:v>33016.5</c:v>
                </c:pt>
                <c:pt idx="24">
                  <c:v>33536.5</c:v>
                </c:pt>
                <c:pt idx="25">
                  <c:v>33548.5</c:v>
                </c:pt>
                <c:pt idx="26">
                  <c:v>34085.5</c:v>
                </c:pt>
                <c:pt idx="27">
                  <c:v>34116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4B-4886-84AA-C6B88ED160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1.9E-3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601</c:v>
                </c:pt>
                <c:pt idx="3">
                  <c:v>989</c:v>
                </c:pt>
                <c:pt idx="4">
                  <c:v>2185</c:v>
                </c:pt>
                <c:pt idx="5">
                  <c:v>23478.5</c:v>
                </c:pt>
                <c:pt idx="6">
                  <c:v>28211.5</c:v>
                </c:pt>
                <c:pt idx="7">
                  <c:v>28211.5</c:v>
                </c:pt>
                <c:pt idx="8">
                  <c:v>28255</c:v>
                </c:pt>
                <c:pt idx="9">
                  <c:v>30853</c:v>
                </c:pt>
                <c:pt idx="10">
                  <c:v>30902.5</c:v>
                </c:pt>
                <c:pt idx="11">
                  <c:v>30953.5</c:v>
                </c:pt>
                <c:pt idx="12">
                  <c:v>30989</c:v>
                </c:pt>
                <c:pt idx="13">
                  <c:v>30990</c:v>
                </c:pt>
                <c:pt idx="14">
                  <c:v>30996</c:v>
                </c:pt>
                <c:pt idx="15">
                  <c:v>31009</c:v>
                </c:pt>
                <c:pt idx="16">
                  <c:v>31045.5</c:v>
                </c:pt>
                <c:pt idx="17">
                  <c:v>31407.5</c:v>
                </c:pt>
                <c:pt idx="18">
                  <c:v>31416.5</c:v>
                </c:pt>
                <c:pt idx="19">
                  <c:v>31506.5</c:v>
                </c:pt>
                <c:pt idx="20">
                  <c:v>31969</c:v>
                </c:pt>
                <c:pt idx="21">
                  <c:v>32461.5</c:v>
                </c:pt>
                <c:pt idx="22">
                  <c:v>32495.5</c:v>
                </c:pt>
                <c:pt idx="23">
                  <c:v>33016.5</c:v>
                </c:pt>
                <c:pt idx="24">
                  <c:v>33536.5</c:v>
                </c:pt>
                <c:pt idx="25">
                  <c:v>33548.5</c:v>
                </c:pt>
                <c:pt idx="26">
                  <c:v>34085.5</c:v>
                </c:pt>
                <c:pt idx="27">
                  <c:v>34116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4B-4886-84AA-C6B88ED160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601</c:v>
                </c:pt>
                <c:pt idx="3">
                  <c:v>989</c:v>
                </c:pt>
                <c:pt idx="4">
                  <c:v>2185</c:v>
                </c:pt>
                <c:pt idx="5">
                  <c:v>23478.5</c:v>
                </c:pt>
                <c:pt idx="6">
                  <c:v>28211.5</c:v>
                </c:pt>
                <c:pt idx="7">
                  <c:v>28211.5</c:v>
                </c:pt>
                <c:pt idx="8">
                  <c:v>28255</c:v>
                </c:pt>
                <c:pt idx="9">
                  <c:v>30853</c:v>
                </c:pt>
                <c:pt idx="10">
                  <c:v>30902.5</c:v>
                </c:pt>
                <c:pt idx="11">
                  <c:v>30953.5</c:v>
                </c:pt>
                <c:pt idx="12">
                  <c:v>30989</c:v>
                </c:pt>
                <c:pt idx="13">
                  <c:v>30990</c:v>
                </c:pt>
                <c:pt idx="14">
                  <c:v>30996</c:v>
                </c:pt>
                <c:pt idx="15">
                  <c:v>31009</c:v>
                </c:pt>
                <c:pt idx="16">
                  <c:v>31045.5</c:v>
                </c:pt>
                <c:pt idx="17">
                  <c:v>31407.5</c:v>
                </c:pt>
                <c:pt idx="18">
                  <c:v>31416.5</c:v>
                </c:pt>
                <c:pt idx="19">
                  <c:v>31506.5</c:v>
                </c:pt>
                <c:pt idx="20">
                  <c:v>31969</c:v>
                </c:pt>
                <c:pt idx="21">
                  <c:v>32461.5</c:v>
                </c:pt>
                <c:pt idx="22">
                  <c:v>32495.5</c:v>
                </c:pt>
                <c:pt idx="23">
                  <c:v>33016.5</c:v>
                </c:pt>
                <c:pt idx="24">
                  <c:v>33536.5</c:v>
                </c:pt>
                <c:pt idx="25">
                  <c:v>33548.5</c:v>
                </c:pt>
                <c:pt idx="26">
                  <c:v>34085.5</c:v>
                </c:pt>
                <c:pt idx="27">
                  <c:v>34116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-1.2593231344549902E-2</c:v>
                </c:pt>
                <c:pt idx="1">
                  <c:v>-1.2593231344549902E-2</c:v>
                </c:pt>
                <c:pt idx="2">
                  <c:v>-1.210735903046394E-2</c:v>
                </c:pt>
                <c:pt idx="3">
                  <c:v>-1.179368439175287E-2</c:v>
                </c:pt>
                <c:pt idx="4">
                  <c:v>-1.0826790402323899E-2</c:v>
                </c:pt>
                <c:pt idx="5">
                  <c:v>6.3877222765270844E-3</c:v>
                </c:pt>
                <c:pt idx="6">
                  <c:v>1.0214067804927847E-2</c:v>
                </c:pt>
                <c:pt idx="7">
                  <c:v>1.0214067804927847E-2</c:v>
                </c:pt>
                <c:pt idx="8">
                  <c:v>1.0249234935814269E-2</c:v>
                </c:pt>
                <c:pt idx="9">
                  <c:v>1.2349561511513653E-2</c:v>
                </c:pt>
                <c:pt idx="10">
                  <c:v>1.238957928114303E-2</c:v>
                </c:pt>
                <c:pt idx="11">
                  <c:v>1.2430809710458145E-2</c:v>
                </c:pt>
                <c:pt idx="12">
                  <c:v>1.2459509323020628E-2</c:v>
                </c:pt>
                <c:pt idx="13">
                  <c:v>1.2460317762811122E-2</c:v>
                </c:pt>
                <c:pt idx="14">
                  <c:v>1.2465168401554073E-2</c:v>
                </c:pt>
                <c:pt idx="15">
                  <c:v>1.2475678118830477E-2</c:v>
                </c:pt>
                <c:pt idx="16">
                  <c:v>1.2505186171183451E-2</c:v>
                </c:pt>
                <c:pt idx="17">
                  <c:v>1.2797841375341717E-2</c:v>
                </c:pt>
                <c:pt idx="18">
                  <c:v>1.2805117333456149E-2</c:v>
                </c:pt>
                <c:pt idx="19">
                  <c:v>1.2877876914600472E-2</c:v>
                </c:pt>
                <c:pt idx="20">
                  <c:v>1.325178031770323E-2</c:v>
                </c:pt>
                <c:pt idx="21">
                  <c:v>1.3649936914520759E-2</c:v>
                </c:pt>
                <c:pt idx="22">
                  <c:v>1.3677423867397502E-2</c:v>
                </c:pt>
                <c:pt idx="23">
                  <c:v>1.409862099824407E-2</c:v>
                </c:pt>
                <c:pt idx="24">
                  <c:v>1.4519009689300144E-2</c:v>
                </c:pt>
                <c:pt idx="25">
                  <c:v>1.4528710966786054E-2</c:v>
                </c:pt>
                <c:pt idx="26">
                  <c:v>1.49628431342805E-2</c:v>
                </c:pt>
                <c:pt idx="27">
                  <c:v>1.4987500547890518E-2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4B-4886-84AA-C6B88ED160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601</c:v>
                </c:pt>
                <c:pt idx="3">
                  <c:v>989</c:v>
                </c:pt>
                <c:pt idx="4">
                  <c:v>2185</c:v>
                </c:pt>
                <c:pt idx="5">
                  <c:v>23478.5</c:v>
                </c:pt>
                <c:pt idx="6">
                  <c:v>28211.5</c:v>
                </c:pt>
                <c:pt idx="7">
                  <c:v>28211.5</c:v>
                </c:pt>
                <c:pt idx="8">
                  <c:v>28255</c:v>
                </c:pt>
                <c:pt idx="9">
                  <c:v>30853</c:v>
                </c:pt>
                <c:pt idx="10">
                  <c:v>30902.5</c:v>
                </c:pt>
                <c:pt idx="11">
                  <c:v>30953.5</c:v>
                </c:pt>
                <c:pt idx="12">
                  <c:v>30989</c:v>
                </c:pt>
                <c:pt idx="13">
                  <c:v>30990</c:v>
                </c:pt>
                <c:pt idx="14">
                  <c:v>30996</c:v>
                </c:pt>
                <c:pt idx="15">
                  <c:v>31009</c:v>
                </c:pt>
                <c:pt idx="16">
                  <c:v>31045.5</c:v>
                </c:pt>
                <c:pt idx="17">
                  <c:v>31407.5</c:v>
                </c:pt>
                <c:pt idx="18">
                  <c:v>31416.5</c:v>
                </c:pt>
                <c:pt idx="19">
                  <c:v>31506.5</c:v>
                </c:pt>
                <c:pt idx="20">
                  <c:v>31969</c:v>
                </c:pt>
                <c:pt idx="21">
                  <c:v>32461.5</c:v>
                </c:pt>
                <c:pt idx="22">
                  <c:v>32495.5</c:v>
                </c:pt>
                <c:pt idx="23">
                  <c:v>33016.5</c:v>
                </c:pt>
                <c:pt idx="24">
                  <c:v>33536.5</c:v>
                </c:pt>
                <c:pt idx="25">
                  <c:v>33548.5</c:v>
                </c:pt>
                <c:pt idx="26">
                  <c:v>34085.5</c:v>
                </c:pt>
                <c:pt idx="27">
                  <c:v>34116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4B-4886-84AA-C6B88ED16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078712"/>
        <c:axId val="1"/>
      </c:scatterChart>
      <c:valAx>
        <c:axId val="856078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078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7788448899461"/>
          <c:y val="0.92073298764483702"/>
          <c:w val="0.84814284321083444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16</xdr:col>
      <xdr:colOff>466725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8F8BA1-5283-2650-2960-BE715C9A4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6094" TargetMode="External"/><Relationship Id="rId2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14"/>
  <sheetViews>
    <sheetView tabSelected="1" workbookViewId="0">
      <pane xSplit="13" ySplit="22" topLeftCell="N29" activePane="bottomRight" state="frozen"/>
      <selection pane="topRight" activeCell="N1" sqref="N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7.42578125" customWidth="1"/>
    <col min="2" max="2" width="7.42578125" customWidth="1"/>
    <col min="3" max="3" width="11.85546875" customWidth="1"/>
    <col min="4" max="4" width="9.42578125" customWidth="1"/>
    <col min="5" max="5" width="11.855468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7" ht="20.25">
      <c r="A1" s="1" t="s">
        <v>32</v>
      </c>
      <c r="C1" s="17" t="s">
        <v>33</v>
      </c>
    </row>
    <row r="2" spans="1:7" ht="12.95" customHeight="1">
      <c r="A2" t="s">
        <v>25</v>
      </c>
      <c r="B2" t="s">
        <v>29</v>
      </c>
    </row>
    <row r="3" spans="1:7" ht="12.95" customHeight="1" thickBot="1"/>
    <row r="4" spans="1:7" ht="12.95" customHeight="1" thickTop="1" thickBot="1">
      <c r="A4" s="8" t="s">
        <v>0</v>
      </c>
      <c r="C4" s="3">
        <v>36848.334999999999</v>
      </c>
      <c r="D4" s="4">
        <v>0.68369999999999997</v>
      </c>
    </row>
    <row r="5" spans="1:7" ht="12.95" customHeight="1" thickTop="1"/>
    <row r="6" spans="1:7" ht="12.95" customHeight="1">
      <c r="A6" s="8" t="s">
        <v>1</v>
      </c>
    </row>
    <row r="7" spans="1:7" ht="12.95" customHeight="1">
      <c r="A7" t="s">
        <v>2</v>
      </c>
      <c r="C7">
        <f>+C4</f>
        <v>36848.334999999999</v>
      </c>
      <c r="D7" s="60" t="s">
        <v>95</v>
      </c>
    </row>
    <row r="8" spans="1:7" ht="12.95" customHeight="1">
      <c r="A8" t="s">
        <v>3</v>
      </c>
      <c r="C8">
        <v>0.68373300000000004</v>
      </c>
      <c r="D8" s="60" t="s">
        <v>96</v>
      </c>
    </row>
    <row r="9" spans="1:7" ht="12.95" customHeight="1">
      <c r="A9" s="18" t="s">
        <v>36</v>
      </c>
      <c r="B9" s="19"/>
      <c r="C9" s="20">
        <v>-9.5</v>
      </c>
      <c r="D9" s="19" t="s">
        <v>37</v>
      </c>
    </row>
    <row r="10" spans="1:7" ht="12.95" customHeight="1" thickBot="1">
      <c r="C10" s="7" t="s">
        <v>20</v>
      </c>
      <c r="D10" s="7" t="s">
        <v>21</v>
      </c>
    </row>
    <row r="11" spans="1:7" ht="12.95" customHeight="1">
      <c r="A11" t="s">
        <v>16</v>
      </c>
      <c r="C11" s="25">
        <f ca="1">INTERCEPT(INDIRECT($G$11):G992,INDIRECT($F$11):F992)</f>
        <v>-1.2593231344549902E-2</v>
      </c>
      <c r="D11" s="6"/>
      <c r="F11" s="21" t="str">
        <f>"F"&amp;E19</f>
        <v>F22</v>
      </c>
      <c r="G11" s="22" t="str">
        <f>"G"&amp;E19</f>
        <v>G22</v>
      </c>
    </row>
    <row r="12" spans="1:7" ht="12.95" customHeight="1">
      <c r="A12" t="s">
        <v>17</v>
      </c>
      <c r="C12" s="25">
        <f ca="1">SLOPE(INDIRECT($G$11):G992,INDIRECT($F$11):F992)</f>
        <v>8.0843979049244991E-7</v>
      </c>
      <c r="D12" s="6"/>
      <c r="E12" s="52" t="s">
        <v>92</v>
      </c>
      <c r="F12" s="53" t="s">
        <v>93</v>
      </c>
    </row>
    <row r="13" spans="1:7" ht="12.95" customHeight="1">
      <c r="A13" t="s">
        <v>19</v>
      </c>
      <c r="C13" s="6" t="s">
        <v>14</v>
      </c>
      <c r="D13" s="26"/>
      <c r="E13" s="49" t="s">
        <v>39</v>
      </c>
      <c r="F13" s="54">
        <v>1</v>
      </c>
    </row>
    <row r="14" spans="1:7" ht="12.95" customHeight="1">
      <c r="A14" t="s">
        <v>24</v>
      </c>
      <c r="D14" s="26"/>
      <c r="E14" s="49" t="s">
        <v>40</v>
      </c>
      <c r="F14" s="55">
        <f ca="1">NOW()+15018.5+$C$9/24</f>
        <v>60544.713529976849</v>
      </c>
    </row>
    <row r="15" spans="1:7" ht="12.95" customHeight="1">
      <c r="A15" s="5" t="s">
        <v>18</v>
      </c>
      <c r="C15" s="13">
        <f ca="1">(C7+C11)+(C8+C12)*INT(MAX(F21:F3533))</f>
        <v>60174.585015500546</v>
      </c>
      <c r="D15" s="26"/>
      <c r="E15" s="49" t="s">
        <v>41</v>
      </c>
      <c r="F15" s="55">
        <f ca="1">ROUND(2*($F$14-$C$7)/$C$8,0)/2+$F$13</f>
        <v>34658.5</v>
      </c>
    </row>
    <row r="16" spans="1:7" ht="12.95" customHeight="1">
      <c r="A16" s="8" t="s">
        <v>4</v>
      </c>
      <c r="C16" s="14">
        <f ca="1">+C8+C12</f>
        <v>0.68373380843979048</v>
      </c>
      <c r="D16" s="26"/>
      <c r="E16" s="49" t="s">
        <v>42</v>
      </c>
      <c r="F16" s="55">
        <f ca="1">ROUND(2*($F$14-$C$15)/$C$16,0)/2+$F$13</f>
        <v>542.5</v>
      </c>
    </row>
    <row r="17" spans="1:21" ht="12.95" customHeight="1" thickBot="1">
      <c r="A17" s="15" t="s">
        <v>31</v>
      </c>
      <c r="C17">
        <f>COUNT(C21:C2191)</f>
        <v>28</v>
      </c>
      <c r="D17" s="26"/>
      <c r="E17" s="50" t="s">
        <v>90</v>
      </c>
      <c r="F17" s="56">
        <f ca="1">+$C$15+$C$16*$F$16-15018.5-$C$9/24</f>
        <v>45527.406439912469</v>
      </c>
    </row>
    <row r="18" spans="1:21" ht="12.95" customHeight="1" thickTop="1" thickBot="1">
      <c r="A18" s="8" t="s">
        <v>5</v>
      </c>
      <c r="C18" s="3">
        <f ca="1">+C15</f>
        <v>60174.585015500546</v>
      </c>
      <c r="D18" s="4">
        <f ca="1">+C16</f>
        <v>0.68373380843979048</v>
      </c>
      <c r="E18" s="51" t="s">
        <v>91</v>
      </c>
      <c r="F18" s="57">
        <f ca="1">+($C$15+$C$16*$F$16)-($C$16/2)-15018.5-$C$9/24</f>
        <v>45527.064573008247</v>
      </c>
    </row>
    <row r="19" spans="1:21" ht="12.95" customHeight="1" thickTop="1">
      <c r="A19" s="23" t="s">
        <v>38</v>
      </c>
      <c r="E19" s="24">
        <v>22</v>
      </c>
    </row>
    <row r="20" spans="1:21" ht="12.95" customHeight="1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97</v>
      </c>
      <c r="J20" s="10" t="s">
        <v>98</v>
      </c>
      <c r="K20" s="10" t="s">
        <v>49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7"/>
      <c r="S20" s="7"/>
      <c r="T20" s="7"/>
      <c r="U20" s="30" t="s">
        <v>44</v>
      </c>
    </row>
    <row r="21" spans="1:21" ht="12.95" customHeight="1">
      <c r="A21" t="s">
        <v>12</v>
      </c>
      <c r="C21" s="16">
        <f>+C4</f>
        <v>36848.334999999999</v>
      </c>
      <c r="D21" s="16" t="s">
        <v>14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9" ca="1" si="3">+C$11+C$12*$F21</f>
        <v>-1.2593231344549902E-2</v>
      </c>
      <c r="Q21" s="2">
        <f t="shared" ref="Q21:Q29" si="4">+C21-15018.5</f>
        <v>21829.834999999999</v>
      </c>
      <c r="R21" s="2"/>
      <c r="S21" s="2"/>
      <c r="T21" s="2"/>
    </row>
    <row r="22" spans="1:21" ht="12.95" customHeight="1">
      <c r="A22" s="61" t="s">
        <v>63</v>
      </c>
      <c r="B22" s="48" t="s">
        <v>35</v>
      </c>
      <c r="C22" s="47">
        <v>36848.355000000003</v>
      </c>
      <c r="D22" s="47" t="s">
        <v>57</v>
      </c>
      <c r="E22">
        <f t="shared" si="0"/>
        <v>2.9251184313283891E-2</v>
      </c>
      <c r="F22">
        <f t="shared" si="1"/>
        <v>0</v>
      </c>
      <c r="G22">
        <f t="shared" si="2"/>
        <v>2.0000000004074536E-2</v>
      </c>
      <c r="I22">
        <f>+G22</f>
        <v>2.0000000004074536E-2</v>
      </c>
      <c r="O22">
        <f t="shared" ca="1" si="3"/>
        <v>-1.2593231344549902E-2</v>
      </c>
      <c r="Q22" s="2">
        <f t="shared" si="4"/>
        <v>21829.855000000003</v>
      </c>
      <c r="R22" s="2"/>
      <c r="S22" s="2"/>
      <c r="T22" s="2"/>
    </row>
    <row r="23" spans="1:21" ht="12.95" customHeight="1">
      <c r="A23" s="61" t="s">
        <v>63</v>
      </c>
      <c r="B23" s="48" t="s">
        <v>35</v>
      </c>
      <c r="C23" s="47">
        <v>37259.258000000002</v>
      </c>
      <c r="D23" s="47" t="s">
        <v>57</v>
      </c>
      <c r="E23">
        <f t="shared" si="0"/>
        <v>600.9992204559419</v>
      </c>
      <c r="F23">
        <f t="shared" si="1"/>
        <v>601</v>
      </c>
      <c r="G23">
        <f t="shared" si="2"/>
        <v>-5.3299999854061753E-4</v>
      </c>
      <c r="I23">
        <f>+G23</f>
        <v>-5.3299999854061753E-4</v>
      </c>
      <c r="O23">
        <f t="shared" ca="1" si="3"/>
        <v>-1.210735903046394E-2</v>
      </c>
      <c r="Q23" s="2">
        <f t="shared" si="4"/>
        <v>22240.758000000002</v>
      </c>
      <c r="R23" s="2"/>
      <c r="S23" s="2"/>
      <c r="T23" s="2"/>
    </row>
    <row r="24" spans="1:21" ht="12.95" customHeight="1">
      <c r="A24" s="61" t="s">
        <v>63</v>
      </c>
      <c r="B24" s="48" t="s">
        <v>35</v>
      </c>
      <c r="C24" s="47">
        <v>37524.498</v>
      </c>
      <c r="D24" s="47" t="s">
        <v>57</v>
      </c>
      <c r="E24">
        <f t="shared" si="0"/>
        <v>988.92842673967823</v>
      </c>
      <c r="F24">
        <f t="shared" si="1"/>
        <v>989</v>
      </c>
      <c r="G24">
        <f t="shared" si="2"/>
        <v>-4.8936999999568798E-2</v>
      </c>
      <c r="I24">
        <f>+G24</f>
        <v>-4.8936999999568798E-2</v>
      </c>
      <c r="O24">
        <f t="shared" ca="1" si="3"/>
        <v>-1.179368439175287E-2</v>
      </c>
      <c r="Q24" s="2">
        <f t="shared" si="4"/>
        <v>22505.998</v>
      </c>
      <c r="R24" s="2"/>
      <c r="S24" s="2"/>
      <c r="T24" s="2"/>
    </row>
    <row r="25" spans="1:21" ht="12.95" customHeight="1">
      <c r="A25" s="61" t="s">
        <v>63</v>
      </c>
      <c r="B25" s="48" t="s">
        <v>35</v>
      </c>
      <c r="C25" s="47">
        <v>38342.237000000001</v>
      </c>
      <c r="D25" s="47" t="s">
        <v>57</v>
      </c>
      <c r="E25">
        <f t="shared" si="0"/>
        <v>2184.9201369540474</v>
      </c>
      <c r="F25">
        <f t="shared" si="1"/>
        <v>2185</v>
      </c>
      <c r="G25">
        <f t="shared" si="2"/>
        <v>-5.4604999997536652E-2</v>
      </c>
      <c r="I25">
        <f>+G25</f>
        <v>-5.4604999997536652E-2</v>
      </c>
      <c r="O25">
        <f t="shared" ca="1" si="3"/>
        <v>-1.0826790402323899E-2</v>
      </c>
      <c r="Q25" s="2">
        <f t="shared" si="4"/>
        <v>23323.737000000001</v>
      </c>
      <c r="R25" s="2"/>
      <c r="S25" s="2"/>
      <c r="T25" s="2"/>
    </row>
    <row r="26" spans="1:21" ht="12.95" customHeight="1">
      <c r="A26" s="11" t="s">
        <v>30</v>
      </c>
      <c r="B26" s="12"/>
      <c r="C26" s="16">
        <v>52901.337899999999</v>
      </c>
      <c r="D26" s="16">
        <v>5.9999999999999995E-4</v>
      </c>
      <c r="E26">
        <f t="shared" si="0"/>
        <v>23478.467325695849</v>
      </c>
      <c r="F26">
        <f t="shared" si="1"/>
        <v>23478.5</v>
      </c>
      <c r="G26">
        <f t="shared" si="2"/>
        <v>-2.2340499999700114E-2</v>
      </c>
      <c r="I26">
        <f>+G26</f>
        <v>-2.2340499999700114E-2</v>
      </c>
      <c r="O26">
        <f t="shared" ca="1" si="3"/>
        <v>6.3877222765270844E-3</v>
      </c>
      <c r="Q26" s="2">
        <f t="shared" si="4"/>
        <v>37882.837899999999</v>
      </c>
      <c r="R26" s="2"/>
      <c r="S26" s="2"/>
      <c r="T26" s="2"/>
    </row>
    <row r="27" spans="1:21" ht="12.95" customHeight="1">
      <c r="A27" s="27" t="s">
        <v>43</v>
      </c>
      <c r="B27" s="28" t="s">
        <v>35</v>
      </c>
      <c r="C27" s="29">
        <v>56137.473460000001</v>
      </c>
      <c r="D27" s="29">
        <v>2E-3</v>
      </c>
      <c r="E27">
        <f t="shared" si="0"/>
        <v>28211.507211148211</v>
      </c>
      <c r="F27">
        <f t="shared" si="1"/>
        <v>28211.5</v>
      </c>
      <c r="G27">
        <f t="shared" si="2"/>
        <v>4.9304999993182719E-3</v>
      </c>
      <c r="J27">
        <f t="shared" ref="J27:J28" si="5">+G27</f>
        <v>4.9304999993182719E-3</v>
      </c>
      <c r="O27">
        <f t="shared" ca="1" si="3"/>
        <v>1.0214067804927847E-2</v>
      </c>
      <c r="Q27" s="2">
        <f t="shared" si="4"/>
        <v>41118.973460000001</v>
      </c>
      <c r="R27" s="2"/>
      <c r="S27" s="2"/>
      <c r="T27" s="2"/>
    </row>
    <row r="28" spans="1:21" ht="12.95" customHeight="1">
      <c r="A28" s="31" t="s">
        <v>45</v>
      </c>
      <c r="B28" s="32" t="s">
        <v>46</v>
      </c>
      <c r="C28" s="33">
        <v>56137.473700000002</v>
      </c>
      <c r="D28" s="33">
        <v>4.0000000000000002E-4</v>
      </c>
      <c r="E28">
        <f t="shared" si="0"/>
        <v>28211.507562162427</v>
      </c>
      <c r="F28">
        <f t="shared" si="1"/>
        <v>28211.5</v>
      </c>
      <c r="G28">
        <f t="shared" si="2"/>
        <v>5.1705000005313195E-3</v>
      </c>
      <c r="J28">
        <f t="shared" si="5"/>
        <v>5.1705000005313195E-3</v>
      </c>
      <c r="O28">
        <f t="shared" ca="1" si="3"/>
        <v>1.0214067804927847E-2</v>
      </c>
      <c r="Q28" s="2">
        <f t="shared" si="4"/>
        <v>41118.973700000002</v>
      </c>
      <c r="R28" s="2"/>
      <c r="S28" s="2"/>
      <c r="T28" s="2"/>
    </row>
    <row r="29" spans="1:21" ht="12.95" customHeight="1">
      <c r="A29" s="27" t="s">
        <v>34</v>
      </c>
      <c r="B29" s="28" t="s">
        <v>35</v>
      </c>
      <c r="C29" s="29">
        <v>56167.3629</v>
      </c>
      <c r="D29" s="29">
        <v>1.9E-3</v>
      </c>
      <c r="E29">
        <f t="shared" si="0"/>
        <v>28255.222287062348</v>
      </c>
      <c r="F29">
        <f t="shared" si="1"/>
        <v>28255</v>
      </c>
      <c r="G29">
        <f>+C29-(C$7+F29*C$8)</f>
        <v>0.15198499999678461</v>
      </c>
      <c r="J29">
        <f>+G29</f>
        <v>0.15198499999678461</v>
      </c>
      <c r="O29">
        <f t="shared" ca="1" si="3"/>
        <v>1.0249234935814269E-2</v>
      </c>
      <c r="Q29" s="2">
        <f t="shared" si="4"/>
        <v>41148.8629</v>
      </c>
      <c r="R29" s="2"/>
      <c r="S29" s="2"/>
      <c r="T29" s="2"/>
    </row>
    <row r="30" spans="1:21" ht="12.95" customHeight="1">
      <c r="A30" s="58" t="s">
        <v>94</v>
      </c>
      <c r="B30" s="59" t="s">
        <v>35</v>
      </c>
      <c r="C30" s="58">
        <v>57943.5821</v>
      </c>
      <c r="D30" s="58">
        <v>3.5000000000000001E-3</v>
      </c>
      <c r="E30">
        <f t="shared" ref="E30:E48" si="6">+(C30-C$7)/C$8</f>
        <v>30853.048046532782</v>
      </c>
      <c r="F30">
        <f t="shared" ref="F30:F48" si="7">ROUND(2*E30,0)/2</f>
        <v>30853</v>
      </c>
      <c r="G30">
        <f t="shared" ref="G30:G48" si="8">+C30-(C$7+F30*C$8)</f>
        <v>3.2850999996298924E-2</v>
      </c>
      <c r="K30">
        <f>+G30</f>
        <v>3.2850999996298924E-2</v>
      </c>
      <c r="O30">
        <f t="shared" ref="O30:O48" ca="1" si="9">+C$11+C$12*$F30</f>
        <v>1.2349561511513653E-2</v>
      </c>
      <c r="Q30" s="2">
        <f t="shared" ref="Q30:Q48" si="10">+C30-15018.5</f>
        <v>42925.0821</v>
      </c>
      <c r="R30" s="2"/>
      <c r="S30" s="2"/>
      <c r="T30" s="2"/>
    </row>
    <row r="31" spans="1:21" ht="12.95" customHeight="1">
      <c r="A31" s="58" t="s">
        <v>94</v>
      </c>
      <c r="B31" s="59" t="s">
        <v>35</v>
      </c>
      <c r="C31" s="58">
        <v>57977.532599999999</v>
      </c>
      <c r="D31" s="58">
        <v>3.5000000000000001E-3</v>
      </c>
      <c r="E31">
        <f t="shared" si="6"/>
        <v>30902.702663174074</v>
      </c>
      <c r="F31">
        <f t="shared" si="7"/>
        <v>30902.5</v>
      </c>
      <c r="G31">
        <f t="shared" si="8"/>
        <v>0.13856749999831663</v>
      </c>
      <c r="K31">
        <f>+G31</f>
        <v>0.13856749999831663</v>
      </c>
      <c r="O31">
        <f t="shared" ca="1" si="9"/>
        <v>1.238957928114303E-2</v>
      </c>
      <c r="Q31" s="2">
        <f t="shared" si="10"/>
        <v>42959.032599999999</v>
      </c>
      <c r="R31" s="2"/>
      <c r="S31" s="2"/>
      <c r="T31" s="2"/>
    </row>
    <row r="32" spans="1:21" ht="12.95" customHeight="1">
      <c r="A32" s="58" t="s">
        <v>94</v>
      </c>
      <c r="B32" s="59" t="s">
        <v>35</v>
      </c>
      <c r="C32" s="58">
        <v>58012.356899999999</v>
      </c>
      <c r="D32" s="58">
        <v>3.5000000000000001E-3</v>
      </c>
      <c r="E32">
        <f t="shared" si="6"/>
        <v>30953.63526405775</v>
      </c>
      <c r="F32">
        <f t="shared" si="7"/>
        <v>30953.5</v>
      </c>
      <c r="G32">
        <f t="shared" si="8"/>
        <v>9.2484499997226521E-2</v>
      </c>
      <c r="K32">
        <f>+G32</f>
        <v>9.2484499997226521E-2</v>
      </c>
      <c r="O32">
        <f t="shared" ca="1" si="9"/>
        <v>1.2430809710458145E-2</v>
      </c>
      <c r="Q32" s="2">
        <f t="shared" si="10"/>
        <v>42993.856899999999</v>
      </c>
      <c r="R32" s="2"/>
      <c r="S32" s="2"/>
      <c r="T32" s="2"/>
    </row>
    <row r="33" spans="1:20" ht="12.95" customHeight="1">
      <c r="A33" s="58" t="s">
        <v>94</v>
      </c>
      <c r="B33" s="59" t="s">
        <v>35</v>
      </c>
      <c r="C33" s="58">
        <v>58036.441599999998</v>
      </c>
      <c r="D33" s="58">
        <v>3.5000000000000001E-3</v>
      </c>
      <c r="E33">
        <f t="shared" si="6"/>
        <v>30988.860563992082</v>
      </c>
      <c r="F33">
        <f t="shared" si="7"/>
        <v>30989</v>
      </c>
      <c r="G33">
        <f t="shared" si="8"/>
        <v>-9.5336999998835381E-2</v>
      </c>
      <c r="K33">
        <f>+G33</f>
        <v>-9.5336999998835381E-2</v>
      </c>
      <c r="O33">
        <f t="shared" ca="1" si="9"/>
        <v>1.2459509323020628E-2</v>
      </c>
      <c r="Q33" s="2">
        <f t="shared" si="10"/>
        <v>43017.941599999998</v>
      </c>
      <c r="R33" s="2"/>
      <c r="S33" s="2"/>
      <c r="T33" s="2"/>
    </row>
    <row r="34" spans="1:20" ht="12.95" customHeight="1">
      <c r="A34" s="58" t="s">
        <v>94</v>
      </c>
      <c r="B34" s="59" t="s">
        <v>35</v>
      </c>
      <c r="C34" s="58">
        <v>58037.3099</v>
      </c>
      <c r="D34" s="58">
        <v>3.5000000000000001E-3</v>
      </c>
      <c r="E34">
        <f t="shared" si="6"/>
        <v>30990.130504158788</v>
      </c>
      <c r="F34">
        <f t="shared" si="7"/>
        <v>30990</v>
      </c>
      <c r="G34">
        <f t="shared" si="8"/>
        <v>8.923000000504544E-2</v>
      </c>
      <c r="K34">
        <f>+G34</f>
        <v>8.923000000504544E-2</v>
      </c>
      <c r="O34">
        <f t="shared" ca="1" si="9"/>
        <v>1.2460317762811122E-2</v>
      </c>
      <c r="Q34" s="2">
        <f t="shared" si="10"/>
        <v>43018.8099</v>
      </c>
    </row>
    <row r="35" spans="1:20" ht="12.95" customHeight="1">
      <c r="A35" s="58" t="s">
        <v>94</v>
      </c>
      <c r="B35" s="59" t="s">
        <v>35</v>
      </c>
      <c r="C35" s="58">
        <v>58041.370199999998</v>
      </c>
      <c r="D35" s="58">
        <v>3.5000000000000001E-3</v>
      </c>
      <c r="E35">
        <f t="shared" si="6"/>
        <v>30996.068933340935</v>
      </c>
      <c r="F35">
        <f t="shared" si="7"/>
        <v>30996</v>
      </c>
      <c r="G35">
        <f t="shared" si="8"/>
        <v>4.7131999999692198E-2</v>
      </c>
      <c r="K35">
        <f>+G35</f>
        <v>4.7131999999692198E-2</v>
      </c>
      <c r="O35">
        <f t="shared" ca="1" si="9"/>
        <v>1.2465168401554073E-2</v>
      </c>
      <c r="Q35" s="2">
        <f t="shared" si="10"/>
        <v>43022.870199999998</v>
      </c>
    </row>
    <row r="36" spans="1:20" ht="12.95" customHeight="1">
      <c r="A36" s="58" t="s">
        <v>94</v>
      </c>
      <c r="B36" s="59" t="s">
        <v>35</v>
      </c>
      <c r="C36" s="58">
        <v>58050.370600000002</v>
      </c>
      <c r="D36" s="58">
        <v>3.5000000000000001E-3</v>
      </c>
      <c r="E36">
        <f t="shared" si="6"/>
        <v>31009.232551302925</v>
      </c>
      <c r="F36">
        <f t="shared" si="7"/>
        <v>31009</v>
      </c>
      <c r="G36">
        <f t="shared" si="8"/>
        <v>0.15900300000066636</v>
      </c>
      <c r="K36">
        <f>+G36</f>
        <v>0.15900300000066636</v>
      </c>
      <c r="O36">
        <f t="shared" ca="1" si="9"/>
        <v>1.2475678118830477E-2</v>
      </c>
      <c r="Q36" s="2">
        <f t="shared" si="10"/>
        <v>43031.870600000002</v>
      </c>
    </row>
    <row r="37" spans="1:20" ht="12.95" customHeight="1">
      <c r="A37" s="58" t="s">
        <v>94</v>
      </c>
      <c r="B37" s="59" t="s">
        <v>35</v>
      </c>
      <c r="C37" s="58">
        <v>58075.327799999999</v>
      </c>
      <c r="D37" s="58">
        <v>3.5000000000000001E-3</v>
      </c>
      <c r="E37">
        <f t="shared" si="6"/>
        <v>31045.733934152657</v>
      </c>
      <c r="F37">
        <f t="shared" si="7"/>
        <v>31045.5</v>
      </c>
      <c r="G37">
        <f t="shared" si="8"/>
        <v>0.15994850000424776</v>
      </c>
      <c r="K37">
        <f>+G37</f>
        <v>0.15994850000424776</v>
      </c>
      <c r="O37">
        <f t="shared" ca="1" si="9"/>
        <v>1.2505186171183451E-2</v>
      </c>
      <c r="Q37" s="2">
        <f t="shared" si="10"/>
        <v>43056.827799999999</v>
      </c>
    </row>
    <row r="38" spans="1:20" ht="12.95" customHeight="1">
      <c r="A38" s="58" t="s">
        <v>94</v>
      </c>
      <c r="B38" s="59" t="s">
        <v>35</v>
      </c>
      <c r="C38" s="58">
        <v>58322.564700000003</v>
      </c>
      <c r="D38" s="58">
        <v>3.5000000000000001E-3</v>
      </c>
      <c r="E38">
        <f t="shared" si="6"/>
        <v>31407.332540626241</v>
      </c>
      <c r="F38">
        <f t="shared" si="7"/>
        <v>31407.5</v>
      </c>
      <c r="G38">
        <f t="shared" si="8"/>
        <v>-0.11449749999883352</v>
      </c>
      <c r="K38">
        <f>+G38</f>
        <v>-0.11449749999883352</v>
      </c>
      <c r="O38">
        <f t="shared" ca="1" si="9"/>
        <v>1.2797841375341717E-2</v>
      </c>
      <c r="Q38" s="2">
        <f t="shared" si="10"/>
        <v>43304.064700000003</v>
      </c>
    </row>
    <row r="39" spans="1:20" ht="12.95" customHeight="1">
      <c r="A39" s="58" t="s">
        <v>94</v>
      </c>
      <c r="B39" s="59" t="s">
        <v>35</v>
      </c>
      <c r="C39" s="58">
        <v>58328.661999999997</v>
      </c>
      <c r="D39" s="58">
        <v>3.5000000000000001E-3</v>
      </c>
      <c r="E39">
        <f t="shared" si="6"/>
        <v>31416.250202930085</v>
      </c>
      <c r="F39">
        <f t="shared" si="7"/>
        <v>31416.5</v>
      </c>
      <c r="G39">
        <f t="shared" si="8"/>
        <v>-0.17079450000892393</v>
      </c>
      <c r="K39">
        <f>+G39</f>
        <v>-0.17079450000892393</v>
      </c>
      <c r="O39">
        <f t="shared" ca="1" si="9"/>
        <v>1.2805117333456149E-2</v>
      </c>
      <c r="Q39" s="2">
        <f t="shared" si="10"/>
        <v>43310.161999999997</v>
      </c>
    </row>
    <row r="40" spans="1:20" ht="12.95" customHeight="1">
      <c r="A40" s="58" t="s">
        <v>94</v>
      </c>
      <c r="B40" s="59" t="s">
        <v>35</v>
      </c>
      <c r="C40" s="58">
        <v>58390.467700000001</v>
      </c>
      <c r="D40" s="58">
        <v>3.5000000000000001E-3</v>
      </c>
      <c r="E40">
        <f t="shared" si="6"/>
        <v>31506.644699027252</v>
      </c>
      <c r="F40">
        <f t="shared" si="7"/>
        <v>31506.5</v>
      </c>
      <c r="G40">
        <f t="shared" si="8"/>
        <v>9.8935499998333398E-2</v>
      </c>
      <c r="K40">
        <f>+G40</f>
        <v>9.8935499998333398E-2</v>
      </c>
      <c r="O40">
        <f t="shared" ca="1" si="9"/>
        <v>1.2877876914600472E-2</v>
      </c>
      <c r="Q40" s="2">
        <f t="shared" si="10"/>
        <v>43371.967700000001</v>
      </c>
    </row>
    <row r="41" spans="1:20" ht="12.95" customHeight="1">
      <c r="A41" s="58" t="s">
        <v>94</v>
      </c>
      <c r="B41" s="59" t="s">
        <v>35</v>
      </c>
      <c r="C41" s="58">
        <v>58706.480799999998</v>
      </c>
      <c r="D41" s="58">
        <v>3.5000000000000001E-3</v>
      </c>
      <c r="E41">
        <f t="shared" si="6"/>
        <v>31968.832570608698</v>
      </c>
      <c r="F41">
        <f t="shared" si="7"/>
        <v>31969</v>
      </c>
      <c r="G41">
        <f t="shared" si="8"/>
        <v>-0.11447700000280747</v>
      </c>
      <c r="K41">
        <f>+G41</f>
        <v>-0.11447700000280747</v>
      </c>
      <c r="O41">
        <f t="shared" ca="1" si="9"/>
        <v>1.325178031770323E-2</v>
      </c>
      <c r="Q41" s="2">
        <f t="shared" si="10"/>
        <v>43687.980799999998</v>
      </c>
    </row>
    <row r="42" spans="1:20">
      <c r="A42" s="58" t="s">
        <v>94</v>
      </c>
      <c r="B42" s="59" t="s">
        <v>35</v>
      </c>
      <c r="C42" s="58">
        <v>59043.383999999998</v>
      </c>
      <c r="D42" s="58">
        <v>3.5000000000000001E-3</v>
      </c>
      <c r="E42">
        <f t="shared" si="6"/>
        <v>32461.573450455071</v>
      </c>
      <c r="F42">
        <f t="shared" si="7"/>
        <v>32461.5</v>
      </c>
      <c r="G42">
        <f t="shared" si="8"/>
        <v>5.0220500001159962E-2</v>
      </c>
      <c r="K42">
        <f>+G42</f>
        <v>5.0220500001159962E-2</v>
      </c>
      <c r="O42">
        <f t="shared" ca="1" si="9"/>
        <v>1.3649936914520759E-2</v>
      </c>
      <c r="Q42" s="2">
        <f t="shared" si="10"/>
        <v>44024.883999999998</v>
      </c>
    </row>
    <row r="43" spans="1:20">
      <c r="A43" s="58" t="s">
        <v>94</v>
      </c>
      <c r="B43" s="59" t="s">
        <v>35</v>
      </c>
      <c r="C43" s="58">
        <v>59066.598299999998</v>
      </c>
      <c r="D43" s="58">
        <v>3.5000000000000001E-3</v>
      </c>
      <c r="E43">
        <f t="shared" si="6"/>
        <v>32495.525738848348</v>
      </c>
      <c r="F43">
        <f t="shared" si="7"/>
        <v>32495.5</v>
      </c>
      <c r="G43">
        <f t="shared" si="8"/>
        <v>1.7598499995074235E-2</v>
      </c>
      <c r="K43">
        <f>+G43</f>
        <v>1.7598499995074235E-2</v>
      </c>
      <c r="O43">
        <f t="shared" ca="1" si="9"/>
        <v>1.3677423867397502E-2</v>
      </c>
      <c r="Q43" s="2">
        <f t="shared" si="10"/>
        <v>44048.098299999998</v>
      </c>
    </row>
    <row r="44" spans="1:20">
      <c r="A44" s="58" t="s">
        <v>94</v>
      </c>
      <c r="B44" s="59" t="s">
        <v>35</v>
      </c>
      <c r="C44" s="58">
        <v>59422.656300000002</v>
      </c>
      <c r="D44" s="58">
        <v>3.5000000000000001E-3</v>
      </c>
      <c r="E44">
        <f t="shared" si="6"/>
        <v>33016.281647953227</v>
      </c>
      <c r="F44">
        <f t="shared" si="7"/>
        <v>33016.5</v>
      </c>
      <c r="G44">
        <f t="shared" si="8"/>
        <v>-0.14929449999908684</v>
      </c>
      <c r="K44">
        <f>+G44</f>
        <v>-0.14929449999908684</v>
      </c>
      <c r="O44">
        <f t="shared" ca="1" si="9"/>
        <v>1.409862099824407E-2</v>
      </c>
      <c r="Q44" s="2">
        <f t="shared" si="10"/>
        <v>44404.156300000002</v>
      </c>
    </row>
    <row r="45" spans="1:20">
      <c r="A45" s="58" t="s">
        <v>94</v>
      </c>
      <c r="B45" s="59" t="s">
        <v>35</v>
      </c>
      <c r="C45" s="58">
        <v>59778.422700000003</v>
      </c>
      <c r="D45" s="58">
        <v>3.5000000000000001E-3</v>
      </c>
      <c r="E45">
        <f t="shared" si="6"/>
        <v>33536.611074790897</v>
      </c>
      <c r="F45">
        <f t="shared" si="7"/>
        <v>33536.5</v>
      </c>
      <c r="G45">
        <f t="shared" si="8"/>
        <v>7.5945500000671018E-2</v>
      </c>
      <c r="K45">
        <f>+G45</f>
        <v>7.5945500000671018E-2</v>
      </c>
      <c r="O45">
        <f t="shared" ca="1" si="9"/>
        <v>1.4519009689300144E-2</v>
      </c>
      <c r="Q45" s="2">
        <f t="shared" si="10"/>
        <v>44759.922700000003</v>
      </c>
    </row>
    <row r="46" spans="1:20">
      <c r="A46" s="58" t="s">
        <v>94</v>
      </c>
      <c r="B46" s="59" t="s">
        <v>35</v>
      </c>
      <c r="C46" s="58">
        <v>59786.548499999997</v>
      </c>
      <c r="D46" s="58">
        <v>3.5000000000000001E-3</v>
      </c>
      <c r="E46">
        <f t="shared" si="6"/>
        <v>33548.49553846311</v>
      </c>
      <c r="F46">
        <f t="shared" si="7"/>
        <v>33548.5</v>
      </c>
      <c r="G46">
        <f t="shared" si="8"/>
        <v>-3.0505000031553209E-3</v>
      </c>
      <c r="K46">
        <f>+G46</f>
        <v>-3.0505000031553209E-3</v>
      </c>
      <c r="O46">
        <f t="shared" ca="1" si="9"/>
        <v>1.4528710966786054E-2</v>
      </c>
      <c r="Q46" s="2">
        <f t="shared" si="10"/>
        <v>44768.048499999997</v>
      </c>
    </row>
    <row r="47" spans="1:20">
      <c r="A47" s="58" t="s">
        <v>94</v>
      </c>
      <c r="B47" s="59" t="s">
        <v>35</v>
      </c>
      <c r="C47" s="58">
        <v>60153.632100000003</v>
      </c>
      <c r="D47" s="58">
        <v>3.5000000000000001E-3</v>
      </c>
      <c r="E47">
        <f t="shared" si="6"/>
        <v>34085.377040452928</v>
      </c>
      <c r="F47">
        <f t="shared" si="7"/>
        <v>34085.5</v>
      </c>
      <c r="G47">
        <f t="shared" si="8"/>
        <v>-8.4071499994024634E-2</v>
      </c>
      <c r="K47">
        <f>+G47</f>
        <v>-8.4071499994024634E-2</v>
      </c>
      <c r="O47">
        <f t="shared" ca="1" si="9"/>
        <v>1.49628431342805E-2</v>
      </c>
      <c r="Q47" s="2">
        <f t="shared" si="10"/>
        <v>45135.132100000003</v>
      </c>
    </row>
    <row r="48" spans="1:20">
      <c r="A48" s="58" t="s">
        <v>94</v>
      </c>
      <c r="B48" s="59" t="s">
        <v>35</v>
      </c>
      <c r="C48" s="58">
        <v>60174.525399999999</v>
      </c>
      <c r="D48" s="58">
        <v>3.5000000000000001E-3</v>
      </c>
      <c r="E48">
        <f t="shared" si="6"/>
        <v>34115.934728907334</v>
      </c>
      <c r="F48">
        <f t="shared" si="7"/>
        <v>34116</v>
      </c>
      <c r="G48">
        <f t="shared" si="8"/>
        <v>-4.4628000003285706E-2</v>
      </c>
      <c r="K48">
        <f>+G48</f>
        <v>-4.4628000003285706E-2</v>
      </c>
      <c r="O48">
        <f t="shared" ca="1" si="9"/>
        <v>1.4987500547890518E-2</v>
      </c>
      <c r="Q48" s="2">
        <f t="shared" si="10"/>
        <v>45156.025399999999</v>
      </c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7"/>
  <sheetViews>
    <sheetView workbookViewId="0">
      <selection activeCell="A14" sqref="A14:D17"/>
    </sheetView>
  </sheetViews>
  <sheetFormatPr defaultRowHeight="12.75"/>
  <cols>
    <col min="1" max="1" width="19.7109375" style="16" customWidth="1"/>
    <col min="2" max="2" width="4.42578125" style="19" customWidth="1"/>
    <col min="3" max="3" width="12.7109375" style="1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34" t="s">
        <v>47</v>
      </c>
      <c r="I1" s="35" t="s">
        <v>48</v>
      </c>
      <c r="J1" s="36" t="s">
        <v>49</v>
      </c>
    </row>
    <row r="2" spans="1:16">
      <c r="I2" s="37" t="s">
        <v>50</v>
      </c>
      <c r="J2" s="38" t="s">
        <v>51</v>
      </c>
    </row>
    <row r="3" spans="1:16">
      <c r="A3" s="39" t="s">
        <v>52</v>
      </c>
      <c r="I3" s="37" t="s">
        <v>53</v>
      </c>
      <c r="J3" s="38" t="s">
        <v>54</v>
      </c>
    </row>
    <row r="4" spans="1:16">
      <c r="I4" s="37" t="s">
        <v>55</v>
      </c>
      <c r="J4" s="38" t="s">
        <v>54</v>
      </c>
    </row>
    <row r="5" spans="1:16" ht="13.5" thickBot="1">
      <c r="I5" s="40" t="s">
        <v>56</v>
      </c>
      <c r="J5" s="41" t="s">
        <v>57</v>
      </c>
    </row>
    <row r="10" spans="1:16" ht="13.5" thickBot="1"/>
    <row r="11" spans="1:16" ht="12.75" customHeight="1" thickBot="1">
      <c r="A11" s="16" t="str">
        <f t="shared" ref="A11:A17" si="0">P11</f>
        <v>BAVM 172 </v>
      </c>
      <c r="B11" s="6" t="str">
        <f t="shared" ref="B11:B17" si="1">IF(H11=INT(H11),"I","II")</f>
        <v>II</v>
      </c>
      <c r="C11" s="16">
        <f t="shared" ref="C11:C17" si="2">1*G11</f>
        <v>52901.337899999999</v>
      </c>
      <c r="D11" s="19" t="str">
        <f t="shared" ref="D11:D17" si="3">VLOOKUP(F11,I$1:J$5,2,FALSE)</f>
        <v>vis</v>
      </c>
      <c r="E11" s="42">
        <f>VLOOKUP(C11,Active!C$21:E$973,3,FALSE)</f>
        <v>23478.467325695849</v>
      </c>
      <c r="F11" s="6" t="s">
        <v>56</v>
      </c>
      <c r="G11" s="19" t="str">
        <f t="shared" ref="G11:G17" si="4">MID(I11,3,LEN(I11)-3)</f>
        <v>52901.3379</v>
      </c>
      <c r="H11" s="16">
        <f t="shared" ref="H11:H17" si="5">1*K11</f>
        <v>23479.5</v>
      </c>
      <c r="I11" s="43" t="s">
        <v>73</v>
      </c>
      <c r="J11" s="44" t="s">
        <v>74</v>
      </c>
      <c r="K11" s="43">
        <v>23479.5</v>
      </c>
      <c r="L11" s="43" t="s">
        <v>75</v>
      </c>
      <c r="M11" s="44" t="s">
        <v>76</v>
      </c>
      <c r="N11" s="44" t="s">
        <v>77</v>
      </c>
      <c r="O11" s="45" t="s">
        <v>78</v>
      </c>
      <c r="P11" s="46" t="s">
        <v>79</v>
      </c>
    </row>
    <row r="12" spans="1:16" ht="12.75" customHeight="1" thickBot="1">
      <c r="A12" s="16" t="str">
        <f t="shared" si="0"/>
        <v>OEJV 0160 </v>
      </c>
      <c r="B12" s="6" t="str">
        <f t="shared" si="1"/>
        <v>I</v>
      </c>
      <c r="C12" s="16">
        <f t="shared" si="2"/>
        <v>56137.473460000001</v>
      </c>
      <c r="D12" s="19" t="str">
        <f t="shared" si="3"/>
        <v>vis</v>
      </c>
      <c r="E12" s="42">
        <f>VLOOKUP(C12,Active!C$21:E$973,3,FALSE)</f>
        <v>28211.507211148211</v>
      </c>
      <c r="F12" s="6" t="s">
        <v>56</v>
      </c>
      <c r="G12" s="19" t="str">
        <f t="shared" si="4"/>
        <v>56137.47346</v>
      </c>
      <c r="H12" s="16">
        <f t="shared" si="5"/>
        <v>28213</v>
      </c>
      <c r="I12" s="43" t="s">
        <v>80</v>
      </c>
      <c r="J12" s="44" t="s">
        <v>81</v>
      </c>
      <c r="K12" s="43">
        <v>28213</v>
      </c>
      <c r="L12" s="43" t="s">
        <v>82</v>
      </c>
      <c r="M12" s="44" t="s">
        <v>83</v>
      </c>
      <c r="N12" s="44" t="s">
        <v>48</v>
      </c>
      <c r="O12" s="45" t="s">
        <v>84</v>
      </c>
      <c r="P12" s="46" t="s">
        <v>85</v>
      </c>
    </row>
    <row r="13" spans="1:16" ht="12.75" customHeight="1" thickBot="1">
      <c r="A13" s="16" t="str">
        <f t="shared" si="0"/>
        <v>IBVS 6094 </v>
      </c>
      <c r="B13" s="6" t="str">
        <f t="shared" si="1"/>
        <v>I</v>
      </c>
      <c r="C13" s="16">
        <f t="shared" si="2"/>
        <v>56137.473700000002</v>
      </c>
      <c r="D13" s="19" t="str">
        <f t="shared" si="3"/>
        <v>vis</v>
      </c>
      <c r="E13" s="42">
        <f>VLOOKUP(C13,Active!C$21:E$973,3,FALSE)</f>
        <v>28211.507562162427</v>
      </c>
      <c r="F13" s="6" t="s">
        <v>56</v>
      </c>
      <c r="G13" s="19" t="str">
        <f t="shared" si="4"/>
        <v>56137.4737</v>
      </c>
      <c r="H13" s="16">
        <f t="shared" si="5"/>
        <v>28213</v>
      </c>
      <c r="I13" s="43" t="s">
        <v>86</v>
      </c>
      <c r="J13" s="44" t="s">
        <v>87</v>
      </c>
      <c r="K13" s="43">
        <v>28213</v>
      </c>
      <c r="L13" s="43" t="s">
        <v>88</v>
      </c>
      <c r="M13" s="44" t="s">
        <v>83</v>
      </c>
      <c r="N13" s="44" t="s">
        <v>48</v>
      </c>
      <c r="O13" s="45" t="s">
        <v>84</v>
      </c>
      <c r="P13" s="46" t="s">
        <v>89</v>
      </c>
    </row>
    <row r="14" spans="1:16" ht="12.75" customHeight="1" thickBot="1">
      <c r="A14" s="16" t="str">
        <f t="shared" si="0"/>
        <v> MSAI 43.145 </v>
      </c>
      <c r="B14" s="6" t="str">
        <f t="shared" si="1"/>
        <v>I</v>
      </c>
      <c r="C14" s="16">
        <f t="shared" si="2"/>
        <v>36848.355000000003</v>
      </c>
      <c r="D14" s="19" t="str">
        <f t="shared" si="3"/>
        <v>vis</v>
      </c>
      <c r="E14" s="42">
        <f>VLOOKUP(C14,Active!C$21:E$973,3,FALSE)</f>
        <v>2.9251184313283891E-2</v>
      </c>
      <c r="F14" s="6" t="s">
        <v>56</v>
      </c>
      <c r="G14" s="19" t="str">
        <f t="shared" si="4"/>
        <v>36848.355</v>
      </c>
      <c r="H14" s="16">
        <f t="shared" si="5"/>
        <v>0</v>
      </c>
      <c r="I14" s="43" t="s">
        <v>58</v>
      </c>
      <c r="J14" s="44" t="s">
        <v>59</v>
      </c>
      <c r="K14" s="43">
        <v>0</v>
      </c>
      <c r="L14" s="43" t="s">
        <v>60</v>
      </c>
      <c r="M14" s="44" t="s">
        <v>61</v>
      </c>
      <c r="N14" s="44"/>
      <c r="O14" s="45" t="s">
        <v>62</v>
      </c>
      <c r="P14" s="45" t="s">
        <v>63</v>
      </c>
    </row>
    <row r="15" spans="1:16" ht="12.75" customHeight="1" thickBot="1">
      <c r="A15" s="16" t="str">
        <f t="shared" si="0"/>
        <v> MSAI 43.145 </v>
      </c>
      <c r="B15" s="6" t="str">
        <f t="shared" si="1"/>
        <v>I</v>
      </c>
      <c r="C15" s="16">
        <f t="shared" si="2"/>
        <v>37259.258000000002</v>
      </c>
      <c r="D15" s="19" t="str">
        <f t="shared" si="3"/>
        <v>vis</v>
      </c>
      <c r="E15" s="42">
        <f>VLOOKUP(C15,Active!C$21:E$973,3,FALSE)</f>
        <v>600.9992204559419</v>
      </c>
      <c r="F15" s="6" t="s">
        <v>56</v>
      </c>
      <c r="G15" s="19" t="str">
        <f t="shared" si="4"/>
        <v>37259.258</v>
      </c>
      <c r="H15" s="16">
        <f t="shared" si="5"/>
        <v>601</v>
      </c>
      <c r="I15" s="43" t="s">
        <v>64</v>
      </c>
      <c r="J15" s="44" t="s">
        <v>65</v>
      </c>
      <c r="K15" s="43">
        <v>601</v>
      </c>
      <c r="L15" s="43" t="s">
        <v>66</v>
      </c>
      <c r="M15" s="44" t="s">
        <v>61</v>
      </c>
      <c r="N15" s="44"/>
      <c r="O15" s="45" t="s">
        <v>62</v>
      </c>
      <c r="P15" s="45" t="s">
        <v>63</v>
      </c>
    </row>
    <row r="16" spans="1:16" ht="12.75" customHeight="1" thickBot="1">
      <c r="A16" s="16" t="str">
        <f t="shared" si="0"/>
        <v> MSAI 43.145 </v>
      </c>
      <c r="B16" s="6" t="str">
        <f t="shared" si="1"/>
        <v>I</v>
      </c>
      <c r="C16" s="16">
        <f t="shared" si="2"/>
        <v>37524.498</v>
      </c>
      <c r="D16" s="19" t="str">
        <f t="shared" si="3"/>
        <v>vis</v>
      </c>
      <c r="E16" s="42">
        <f>VLOOKUP(C16,Active!C$21:E$973,3,FALSE)</f>
        <v>988.92842673967823</v>
      </c>
      <c r="F16" s="6" t="s">
        <v>56</v>
      </c>
      <c r="G16" s="19" t="str">
        <f t="shared" si="4"/>
        <v>37524.498</v>
      </c>
      <c r="H16" s="16">
        <f t="shared" si="5"/>
        <v>989</v>
      </c>
      <c r="I16" s="43" t="s">
        <v>67</v>
      </c>
      <c r="J16" s="44" t="s">
        <v>68</v>
      </c>
      <c r="K16" s="43">
        <v>989</v>
      </c>
      <c r="L16" s="43" t="s">
        <v>69</v>
      </c>
      <c r="M16" s="44" t="s">
        <v>61</v>
      </c>
      <c r="N16" s="44"/>
      <c r="O16" s="45" t="s">
        <v>62</v>
      </c>
      <c r="P16" s="45" t="s">
        <v>63</v>
      </c>
    </row>
    <row r="17" spans="1:16" ht="12.75" customHeight="1" thickBot="1">
      <c r="A17" s="16" t="str">
        <f t="shared" si="0"/>
        <v> MSAI 43.145 </v>
      </c>
      <c r="B17" s="6" t="str">
        <f t="shared" si="1"/>
        <v>I</v>
      </c>
      <c r="C17" s="16">
        <f t="shared" si="2"/>
        <v>38342.237000000001</v>
      </c>
      <c r="D17" s="19" t="str">
        <f t="shared" si="3"/>
        <v>vis</v>
      </c>
      <c r="E17" s="42">
        <f>VLOOKUP(C17,Active!C$21:E$973,3,FALSE)</f>
        <v>2184.9201369540474</v>
      </c>
      <c r="F17" s="6" t="s">
        <v>56</v>
      </c>
      <c r="G17" s="19" t="str">
        <f t="shared" si="4"/>
        <v>38342.237</v>
      </c>
      <c r="H17" s="16">
        <f t="shared" si="5"/>
        <v>2185</v>
      </c>
      <c r="I17" s="43" t="s">
        <v>70</v>
      </c>
      <c r="J17" s="44" t="s">
        <v>71</v>
      </c>
      <c r="K17" s="43">
        <v>2185</v>
      </c>
      <c r="L17" s="43" t="s">
        <v>72</v>
      </c>
      <c r="M17" s="44" t="s">
        <v>61</v>
      </c>
      <c r="N17" s="44"/>
      <c r="O17" s="45" t="s">
        <v>62</v>
      </c>
      <c r="P17" s="45" t="s">
        <v>63</v>
      </c>
    </row>
    <row r="18" spans="1:16">
      <c r="B18" s="6"/>
      <c r="E18" s="42"/>
      <c r="F18" s="6"/>
    </row>
    <row r="19" spans="1:16">
      <c r="B19" s="6"/>
      <c r="E19" s="42"/>
      <c r="F19" s="6"/>
    </row>
    <row r="20" spans="1:16">
      <c r="B20" s="6"/>
      <c r="E20" s="42"/>
      <c r="F20" s="6"/>
    </row>
    <row r="21" spans="1:16">
      <c r="B21" s="6"/>
      <c r="E21" s="42"/>
      <c r="F21" s="6"/>
    </row>
    <row r="22" spans="1:16">
      <c r="B22" s="6"/>
      <c r="E22" s="42"/>
      <c r="F22" s="6"/>
    </row>
    <row r="23" spans="1:16">
      <c r="B23" s="6"/>
      <c r="E23" s="42"/>
      <c r="F23" s="6"/>
    </row>
    <row r="24" spans="1:16">
      <c r="B24" s="6"/>
      <c r="E24" s="42"/>
      <c r="F24" s="6"/>
    </row>
    <row r="25" spans="1:16">
      <c r="B25" s="6"/>
      <c r="E25" s="42"/>
      <c r="F25" s="6"/>
    </row>
    <row r="26" spans="1:16">
      <c r="B26" s="6"/>
      <c r="E26" s="42"/>
      <c r="F26" s="6"/>
    </row>
    <row r="27" spans="1:16">
      <c r="B27" s="6"/>
      <c r="E27" s="42"/>
      <c r="F27" s="6"/>
    </row>
    <row r="28" spans="1:16">
      <c r="B28" s="6"/>
      <c r="E28" s="42"/>
      <c r="F28" s="6"/>
    </row>
    <row r="29" spans="1:16">
      <c r="B29" s="6"/>
      <c r="E29" s="42"/>
      <c r="F29" s="6"/>
    </row>
    <row r="30" spans="1:16">
      <c r="B30" s="6"/>
      <c r="E30" s="42"/>
      <c r="F30" s="6"/>
    </row>
    <row r="31" spans="1:16">
      <c r="B31" s="6"/>
      <c r="E31" s="42"/>
      <c r="F31" s="6"/>
    </row>
    <row r="32" spans="1:16">
      <c r="B32" s="6"/>
      <c r="E32" s="42"/>
      <c r="F32" s="6"/>
    </row>
    <row r="33" spans="2:6">
      <c r="B33" s="6"/>
      <c r="E33" s="42"/>
      <c r="F33" s="6"/>
    </row>
    <row r="34" spans="2:6">
      <c r="B34" s="6"/>
      <c r="E34" s="42"/>
      <c r="F34" s="6"/>
    </row>
    <row r="35" spans="2:6">
      <c r="B35" s="6"/>
      <c r="E35" s="42"/>
      <c r="F35" s="6"/>
    </row>
    <row r="36" spans="2:6">
      <c r="B36" s="6"/>
      <c r="E36" s="42"/>
      <c r="F36" s="6"/>
    </row>
    <row r="37" spans="2:6">
      <c r="B37" s="6"/>
      <c r="E37" s="42"/>
      <c r="F37" s="6"/>
    </row>
    <row r="38" spans="2:6">
      <c r="B38" s="6"/>
      <c r="E38" s="42"/>
      <c r="F38" s="6"/>
    </row>
    <row r="39" spans="2:6">
      <c r="B39" s="6"/>
      <c r="E39" s="42"/>
      <c r="F39" s="6"/>
    </row>
    <row r="40" spans="2:6">
      <c r="B40" s="6"/>
      <c r="E40" s="42"/>
      <c r="F40" s="6"/>
    </row>
    <row r="41" spans="2:6">
      <c r="B41" s="6"/>
      <c r="E41" s="42"/>
      <c r="F41" s="6"/>
    </row>
    <row r="42" spans="2:6">
      <c r="B42" s="6"/>
      <c r="E42" s="42"/>
      <c r="F42" s="6"/>
    </row>
    <row r="43" spans="2:6">
      <c r="B43" s="6"/>
      <c r="E43" s="42"/>
      <c r="F43" s="6"/>
    </row>
    <row r="44" spans="2:6">
      <c r="B44" s="6"/>
      <c r="E44" s="42"/>
      <c r="F44" s="6"/>
    </row>
    <row r="45" spans="2:6">
      <c r="B45" s="6"/>
      <c r="E45" s="42"/>
      <c r="F45" s="6"/>
    </row>
    <row r="46" spans="2:6">
      <c r="B46" s="6"/>
      <c r="E46" s="42"/>
      <c r="F46" s="6"/>
    </row>
    <row r="47" spans="2:6">
      <c r="B47" s="6"/>
      <c r="E47" s="42"/>
      <c r="F47" s="6"/>
    </row>
    <row r="48" spans="2:6">
      <c r="B48" s="6"/>
      <c r="E48" s="42"/>
      <c r="F48" s="6"/>
    </row>
    <row r="49" spans="2:6">
      <c r="B49" s="6"/>
      <c r="E49" s="42"/>
      <c r="F49" s="6"/>
    </row>
    <row r="50" spans="2:6">
      <c r="B50" s="6"/>
      <c r="E50" s="42"/>
      <c r="F50" s="6"/>
    </row>
    <row r="51" spans="2:6">
      <c r="B51" s="6"/>
      <c r="E51" s="42"/>
      <c r="F51" s="6"/>
    </row>
    <row r="52" spans="2:6">
      <c r="B52" s="6"/>
      <c r="E52" s="42"/>
      <c r="F52" s="6"/>
    </row>
    <row r="53" spans="2:6">
      <c r="B53" s="6"/>
      <c r="E53" s="42"/>
      <c r="F53" s="6"/>
    </row>
    <row r="54" spans="2:6">
      <c r="B54" s="6"/>
      <c r="E54" s="42"/>
      <c r="F54" s="6"/>
    </row>
    <row r="55" spans="2:6">
      <c r="B55" s="6"/>
      <c r="E55" s="42"/>
      <c r="F55" s="6"/>
    </row>
    <row r="56" spans="2:6">
      <c r="B56" s="6"/>
      <c r="E56" s="42"/>
      <c r="F56" s="6"/>
    </row>
    <row r="57" spans="2:6">
      <c r="B57" s="6"/>
      <c r="E57" s="42"/>
      <c r="F57" s="6"/>
    </row>
    <row r="58" spans="2:6">
      <c r="B58" s="6"/>
      <c r="E58" s="42"/>
      <c r="F58" s="6"/>
    </row>
    <row r="59" spans="2:6">
      <c r="B59" s="6"/>
      <c r="E59" s="42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</sheetData>
  <phoneticPr fontId="7" type="noConversion"/>
  <hyperlinks>
    <hyperlink ref="P11" r:id="rId1" display="http://www.bav-astro.de/sfs/BAVM_link.php?BAVMnr=172" xr:uid="{00000000-0004-0000-0100-000000000000}"/>
    <hyperlink ref="P12" r:id="rId2" display="http://var.astro.cz/oejv/issues/oejv0160.pdf" xr:uid="{00000000-0004-0000-0100-000001000000}"/>
    <hyperlink ref="P13" r:id="rId3" display="http://www.konkoly.hu/cgi-bin/IBVS?6094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2024-08-22T05:07:29Z</dcterms:modified>
</cp:coreProperties>
</file>