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A2D2B6A-CE79-4A50-8476-613891D199B4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Q38" i="1"/>
  <c r="E38" i="1"/>
  <c r="F38" i="1"/>
  <c r="G38" i="1"/>
  <c r="I38" i="1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G12" i="2"/>
  <c r="C12" i="2"/>
  <c r="E12" i="2"/>
  <c r="G11" i="2"/>
  <c r="C11" i="2"/>
  <c r="E11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E37" i="1"/>
  <c r="F37" i="1"/>
  <c r="G37" i="1"/>
  <c r="K37" i="1"/>
  <c r="Q37" i="1"/>
  <c r="C17" i="1"/>
  <c r="E36" i="1"/>
  <c r="F36" i="1"/>
  <c r="G36" i="1"/>
  <c r="K36" i="1"/>
  <c r="E22" i="1"/>
  <c r="F22" i="1"/>
  <c r="G22" i="1"/>
  <c r="E23" i="1"/>
  <c r="F23" i="1"/>
  <c r="G23" i="1"/>
  <c r="I23" i="1"/>
  <c r="E24" i="1"/>
  <c r="F24" i="1"/>
  <c r="G24" i="1"/>
  <c r="I24" i="1"/>
  <c r="E25" i="1"/>
  <c r="F25" i="1"/>
  <c r="G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21" i="1"/>
  <c r="F21" i="1"/>
  <c r="Q36" i="1"/>
  <c r="Q21" i="1"/>
  <c r="Q34" i="1"/>
  <c r="Q35" i="1"/>
  <c r="Q32" i="1"/>
  <c r="Q33" i="1"/>
  <c r="Q22" i="1"/>
  <c r="I22" i="1"/>
  <c r="Q23" i="1"/>
  <c r="Q24" i="1"/>
  <c r="I25" i="1"/>
  <c r="Q25" i="1"/>
  <c r="Q26" i="1"/>
  <c r="Q27" i="1"/>
  <c r="Q28" i="1"/>
  <c r="Q29" i="1"/>
  <c r="Q30" i="1"/>
  <c r="Q31" i="1"/>
  <c r="E13" i="2"/>
  <c r="E21" i="2"/>
  <c r="C11" i="1"/>
  <c r="C12" i="1"/>
  <c r="C16" i="1" l="1"/>
  <c r="D18" i="1" s="1"/>
  <c r="O34" i="1"/>
  <c r="O27" i="1"/>
  <c r="O24" i="1"/>
  <c r="O21" i="1"/>
  <c r="O28" i="1"/>
  <c r="O36" i="1"/>
  <c r="O25" i="1"/>
  <c r="O23" i="1"/>
  <c r="O29" i="1"/>
  <c r="O31" i="1"/>
  <c r="O38" i="1"/>
  <c r="O22" i="1"/>
  <c r="O33" i="1"/>
  <c r="C15" i="1"/>
  <c r="O32" i="1"/>
  <c r="O26" i="1"/>
  <c r="O37" i="1"/>
  <c r="O35" i="1"/>
  <c r="O30" i="1"/>
  <c r="C18" i="1" l="1"/>
  <c r="F18" i="1"/>
  <c r="F19" i="1" s="1"/>
</calcChain>
</file>

<file path=xl/sharedStrings.xml><?xml version="1.0" encoding="utf-8"?>
<sst xmlns="http://schemas.openxmlformats.org/spreadsheetml/2006/main" count="226" uniqueCount="144">
  <si>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</si>
  <si>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</si>
  <si>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</si>
  <si>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</si>
  <si>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</si>
  <si>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</si>
  <si>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</si>
  <si>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</si>
  <si>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</si>
  <si>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</si>
  <si>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</si>
  <si>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</si>
  <si>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</si>
  <si>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</si>
  <si>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</si>
  <si>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</si>
  <si>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</si>
  <si>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</si>
  <si>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</si>
  <si>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</si>
  <si>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</si>
  <si>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</si>
  <si>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</si>
  <si>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</si>
  <si>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</si>
  <si>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</si>
  <si>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</si>
  <si>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</si>
  <si>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</si>
  <si>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Bull.89</t>
  </si>
  <si>
    <t>B</t>
  </si>
  <si>
    <t>BBSAG Bull.90</t>
  </si>
  <si>
    <t>BBSAG Bull.92</t>
  </si>
  <si>
    <t>BBSAG Bull.96</t>
  </si>
  <si>
    <t>BBSAG Bull.102</t>
  </si>
  <si>
    <t>BBSAG Bull.104</t>
  </si>
  <si>
    <t>BBSAG Bull.108</t>
  </si>
  <si>
    <t>BBSAG Bull.109</t>
  </si>
  <si>
    <t>BBSAG Bull.112</t>
  </si>
  <si>
    <t>IBVS 5263</t>
  </si>
  <si>
    <t>I</t>
  </si>
  <si>
    <t>IBVS 4887</t>
  </si>
  <si>
    <t>IBVS 4888</t>
  </si>
  <si>
    <t>IBVS 5583</t>
  </si>
  <si>
    <t># of data points:</t>
  </si>
  <si>
    <t>V1908 Cyg / na</t>
  </si>
  <si>
    <t>IBVS 5438</t>
  </si>
  <si>
    <t>EA/SD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</si>
  <si>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</si>
  <si>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</si>
  <si>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</si>
  <si>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</si>
  <si>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</si>
  <si>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</si>
  <si>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</si>
  <si>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</si>
  <si>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</si>
  <si>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</si>
  <si>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</si>
  <si>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2447383.530 </t>
  </si>
  <si>
    <t> 10.08.1988 00:43 </t>
  </si>
  <si>
    <t> -0.074 </t>
  </si>
  <si>
    <t>V </t>
  </si>
  <si>
    <t> K.Locher </t>
  </si>
  <si>
    <t> BBS 89 </t>
  </si>
  <si>
    <t>2447430.349 </t>
  </si>
  <si>
    <t> 25.09.1988 20:22 </t>
  </si>
  <si>
    <t> -0.073 </t>
  </si>
  <si>
    <t>2447472.251 </t>
  </si>
  <si>
    <t> 06.11.1988 18:01 </t>
  </si>
  <si>
    <t> -0.060 </t>
  </si>
  <si>
    <t> BBS 90 </t>
  </si>
  <si>
    <t>2447775.354 </t>
  </si>
  <si>
    <t> 05.09.1989 20:29 </t>
  </si>
  <si>
    <t> -0.040 </t>
  </si>
  <si>
    <t> BBS 92 </t>
  </si>
  <si>
    <t>2448147.412 </t>
  </si>
  <si>
    <t> 12.09.1990 21:53 </t>
  </si>
  <si>
    <t> -0.059 </t>
  </si>
  <si>
    <t> BBS 96 </t>
  </si>
  <si>
    <t>2448943.342 </t>
  </si>
  <si>
    <t> 16.11.1992 20:12 </t>
  </si>
  <si>
    <t> -0.029 </t>
  </si>
  <si>
    <t> BBS 102 </t>
  </si>
  <si>
    <t>2449177.495 </t>
  </si>
  <si>
    <t> 08.07.1993 23:52 </t>
  </si>
  <si>
    <t> 0.035 </t>
  </si>
  <si>
    <t> BBS 104 </t>
  </si>
  <si>
    <t>2449633.320 </t>
  </si>
  <si>
    <t> 07.10.1994 19:40 </t>
  </si>
  <si>
    <t> 0.004 </t>
  </si>
  <si>
    <t> BBS 108 </t>
  </si>
  <si>
    <t>2449894.486 </t>
  </si>
  <si>
    <t> 25.06.1995 23:39 </t>
  </si>
  <si>
    <t> -0.023 </t>
  </si>
  <si>
    <t> BBS 109 </t>
  </si>
  <si>
    <t>2450276.425 </t>
  </si>
  <si>
    <t> 11.07.1996 22:12 </t>
  </si>
  <si>
    <t> -0.017 </t>
  </si>
  <si>
    <t> BBS 112 </t>
  </si>
  <si>
    <t>2450658.3742 </t>
  </si>
  <si>
    <t> 28.07.1997 20:58 </t>
  </si>
  <si>
    <t> -0.0017 </t>
  </si>
  <si>
    <t>E </t>
  </si>
  <si>
    <t>?</t>
  </si>
  <si>
    <t> J.Safar </t>
  </si>
  <si>
    <t>IBVS 4887 </t>
  </si>
  <si>
    <t>2450961.4567 </t>
  </si>
  <si>
    <t> 27.05.1998 22:57 </t>
  </si>
  <si>
    <t> -0.0019 </t>
  </si>
  <si>
    <t>IBVS 4888 </t>
  </si>
  <si>
    <t>2451375.4322 </t>
  </si>
  <si>
    <t> 15.07.1999 22:22 </t>
  </si>
  <si>
    <t> 0.0070 </t>
  </si>
  <si>
    <t>IBVS 5263 </t>
  </si>
  <si>
    <t>2451449.3558 </t>
  </si>
  <si>
    <t> 27.09.1999 20:32 </t>
  </si>
  <si>
    <t> 0.0079 </t>
  </si>
  <si>
    <t>2452437.4576 </t>
  </si>
  <si>
    <t> 11.06.2002 22:58 </t>
  </si>
  <si>
    <t> 0.0109 </t>
  </si>
  <si>
    <t> M.Zejda </t>
  </si>
  <si>
    <t>IBVS 5583 </t>
  </si>
  <si>
    <t>2452548.3422 </t>
  </si>
  <si>
    <t> 30.09.2002 20:12 </t>
  </si>
  <si>
    <t> 0.0115 </t>
  </si>
  <si>
    <t> R.Diethelm </t>
  </si>
  <si>
    <t> BBS 129 </t>
  </si>
  <si>
    <t>2455825.5540 </t>
  </si>
  <si>
    <t> 21.09.2011 01:17 </t>
  </si>
  <si>
    <t> -0.0124 </t>
  </si>
  <si>
    <t>C </t>
  </si>
  <si>
    <t>-U;-I</t>
  </si>
  <si>
    <t> M.&amp; K.Rätz </t>
  </si>
  <si>
    <t>BAVM 225 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</si>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</sst>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0" fillId="0" borderId="0" xfId="0" applyNumberFormat="1" applyAlignment="1">
      <alignment horizontal="left" wrapText="1"/>
    </xf>
    <xf numFmtId="0" fontId="5" fillId="0" borderId="5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5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5" fillId="2" borderId="12" xfId="7" applyFill="1" applyBorder="1" applyAlignment="1" applyProtection="1">
      <alignment horizontal="right" vertical="top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20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V1908 Cyg - O-C Diagr.</a:t>
            </a:r>
          </a:p>
        </c:rich>
      </c:tx>
      <c:layout>
        <c:manualLayout>
          <c:xMode val="edge"/>
          <c:yMode val="edge"/>
          <c:x val="0.3327036105363955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806776131609"/>
          <c:y val="0.15"/>
          <c:w val="0.78639013984794037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67-43DB-9147-8CEE9AEBA60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">
                  <c:v>-6.9112600001972169E-2</c:v>
                </c:pt>
                <c:pt idx="2">
                  <c:v>-7.0053199997346383E-2</c:v>
                </c:pt>
                <c:pt idx="3">
                  <c:v>-5.9579000000667293E-2</c:v>
                </c:pt>
                <c:pt idx="4">
                  <c:v>-5.4089199998998083E-2</c:v>
                </c:pt>
                <c:pt idx="5">
                  <c:v>-9.1406600004120264E-2</c:v>
                </c:pt>
                <c:pt idx="6">
                  <c:v>-0.10039680000045337</c:v>
                </c:pt>
                <c:pt idx="7">
                  <c:v>-4.7099799994612113E-2</c:v>
                </c:pt>
                <c:pt idx="8">
                  <c:v>-0.10046879999572411</c:v>
                </c:pt>
                <c:pt idx="9">
                  <c:v>-0.14045320000150241</c:v>
                </c:pt>
                <c:pt idx="10">
                  <c:v>-0.15360019999206997</c:v>
                </c:pt>
                <c:pt idx="17">
                  <c:v>-0.41966500000125961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67-43DB-9147-8CEE9AEBA60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67-43DB-9147-8CEE9AEBA60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11">
                  <c:v>-0.15654720000020461</c:v>
                </c:pt>
                <c:pt idx="12">
                  <c:v>-0.17155739999725483</c:v>
                </c:pt>
                <c:pt idx="13">
                  <c:v>-0.18290059999708319</c:v>
                </c:pt>
                <c:pt idx="14">
                  <c:v>-0.18552259999705711</c:v>
                </c:pt>
                <c:pt idx="15">
                  <c:v>-0.23088999999890802</c:v>
                </c:pt>
                <c:pt idx="16">
                  <c:v>-0.23562300000048708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67-43DB-9147-8CEE9AEBA60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67-43DB-9147-8CEE9AEBA60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67-43DB-9147-8CEE9AEBA60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67-43DB-9147-8CEE9AEBA60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0">
                  <c:v>0.13702705364067175</c:v>
                </c:pt>
                <c:pt idx="1">
                  <c:v>-3.8434688223960595E-2</c:v>
                </c:pt>
                <c:pt idx="2">
                  <c:v>-4.0287813902353031E-2</c:v>
                </c:pt>
                <c:pt idx="3">
                  <c:v>-4.1945873719862053E-2</c:v>
                </c:pt>
                <c:pt idx="4">
                  <c:v>-5.3942424164192121E-2</c:v>
                </c:pt>
                <c:pt idx="5">
                  <c:v>-6.866989666088999E-2</c:v>
                </c:pt>
                <c:pt idx="6">
                  <c:v>-0.10017303319356161</c:v>
                </c:pt>
                <c:pt idx="7">
                  <c:v>-0.10943866158552387</c:v>
                </c:pt>
                <c:pt idx="8">
                  <c:v>-0.12748225371723981</c:v>
                </c:pt>
                <c:pt idx="9">
                  <c:v>-0.13782074434406083</c:v>
                </c:pt>
                <c:pt idx="10">
                  <c:v>-0.15293834856252553</c:v>
                </c:pt>
                <c:pt idx="11">
                  <c:v>-0.16805595278099023</c:v>
                </c:pt>
                <c:pt idx="12">
                  <c:v>-0.18005250322532029</c:v>
                </c:pt>
                <c:pt idx="13">
                  <c:v>-0.19643803553952721</c:v>
                </c:pt>
                <c:pt idx="14">
                  <c:v>-0.19936402345277843</c:v>
                </c:pt>
                <c:pt idx="15">
                  <c:v>-0.23847472855990326</c:v>
                </c:pt>
                <c:pt idx="16">
                  <c:v>-0.24286371042978011</c:v>
                </c:pt>
                <c:pt idx="17">
                  <c:v>-0.3725825079172515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67-43DB-9147-8CEE9AEBA606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67-43DB-9147-8CEE9AEBA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249592"/>
        <c:axId val="1"/>
      </c:scatterChart>
      <c:valAx>
        <c:axId val="936249592"/>
        <c:scaling>
          <c:orientation val="minMax"/>
          <c:min val="1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106048653181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820415879017016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249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3175803402646506E-2"/>
          <c:y val="0.91874999999999996"/>
          <c:w val="0.9092635537760047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V1908 Cyg - O-C Diagr.</a:t>
            </a:r>
          </a:p>
        </c:rich>
      </c:tx>
      <c:layout>
        <c:manualLayout>
          <c:xMode val="edge"/>
          <c:yMode val="edge"/>
          <c:x val="0.3320754716981131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0566037735849"/>
          <c:y val="0.14953316519776211"/>
          <c:w val="0.79811320754716986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7F-4416-ABC6-81766865085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">
                  <c:v>-6.9112600001972169E-2</c:v>
                </c:pt>
                <c:pt idx="2">
                  <c:v>-7.0053199997346383E-2</c:v>
                </c:pt>
                <c:pt idx="3">
                  <c:v>-5.9579000000667293E-2</c:v>
                </c:pt>
                <c:pt idx="4">
                  <c:v>-5.4089199998998083E-2</c:v>
                </c:pt>
                <c:pt idx="5">
                  <c:v>-9.1406600004120264E-2</c:v>
                </c:pt>
                <c:pt idx="6">
                  <c:v>-0.10039680000045337</c:v>
                </c:pt>
                <c:pt idx="7">
                  <c:v>-4.7099799994612113E-2</c:v>
                </c:pt>
                <c:pt idx="8">
                  <c:v>-0.10046879999572411</c:v>
                </c:pt>
                <c:pt idx="9">
                  <c:v>-0.14045320000150241</c:v>
                </c:pt>
                <c:pt idx="10">
                  <c:v>-0.15360019999206997</c:v>
                </c:pt>
                <c:pt idx="17">
                  <c:v>-0.41966500000125961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7F-4416-ABC6-81766865085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7F-4416-ABC6-81766865085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11">
                  <c:v>-0.15654720000020461</c:v>
                </c:pt>
                <c:pt idx="12">
                  <c:v>-0.17155739999725483</c:v>
                </c:pt>
                <c:pt idx="13">
                  <c:v>-0.18290059999708319</c:v>
                </c:pt>
                <c:pt idx="14">
                  <c:v>-0.18552259999705711</c:v>
                </c:pt>
                <c:pt idx="15">
                  <c:v>-0.23088999999890802</c:v>
                </c:pt>
                <c:pt idx="16">
                  <c:v>-0.23562300000048708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7F-4416-ABC6-81766865085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7F-4416-ABC6-81766865085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7F-4416-ABC6-81766865085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7F-4416-ABC6-81766865085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0">
                  <c:v>0.13702705364067175</c:v>
                </c:pt>
                <c:pt idx="1">
                  <c:v>-3.8434688223960595E-2</c:v>
                </c:pt>
                <c:pt idx="2">
                  <c:v>-4.0287813902353031E-2</c:v>
                </c:pt>
                <c:pt idx="3">
                  <c:v>-4.1945873719862053E-2</c:v>
                </c:pt>
                <c:pt idx="4">
                  <c:v>-5.3942424164192121E-2</c:v>
                </c:pt>
                <c:pt idx="5">
                  <c:v>-6.866989666088999E-2</c:v>
                </c:pt>
                <c:pt idx="6">
                  <c:v>-0.10017303319356161</c:v>
                </c:pt>
                <c:pt idx="7">
                  <c:v>-0.10943866158552387</c:v>
                </c:pt>
                <c:pt idx="8">
                  <c:v>-0.12748225371723981</c:v>
                </c:pt>
                <c:pt idx="9">
                  <c:v>-0.13782074434406083</c:v>
                </c:pt>
                <c:pt idx="10">
                  <c:v>-0.15293834856252553</c:v>
                </c:pt>
                <c:pt idx="11">
                  <c:v>-0.16805595278099023</c:v>
                </c:pt>
                <c:pt idx="12">
                  <c:v>-0.18005250322532029</c:v>
                </c:pt>
                <c:pt idx="13">
                  <c:v>-0.19643803553952721</c:v>
                </c:pt>
                <c:pt idx="14">
                  <c:v>-0.19936402345277843</c:v>
                </c:pt>
                <c:pt idx="15">
                  <c:v>-0.23847472855990326</c:v>
                </c:pt>
                <c:pt idx="16">
                  <c:v>-0.24286371042978011</c:v>
                </c:pt>
                <c:pt idx="17">
                  <c:v>-0.3725825079172515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7F-4416-ABC6-81766865085E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97F-4416-ABC6-81766865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934976"/>
        <c:axId val="1"/>
      </c:scatterChart>
      <c:valAx>
        <c:axId val="84993497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75471698113207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716981132075473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934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4905660377358486E-2"/>
          <c:y val="0.91900605882208652"/>
          <c:w val="0.9075471698113207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V1908 Cyg - O-C Diagr.</a:t>
            </a:r>
          </a:p>
        </c:rich>
      </c:tx>
      <c:layout>
        <c:manualLayout>
          <c:xMode val="edge"/>
          <c:yMode val="edge"/>
          <c:x val="0.37249283667621774"/>
          <c:y val="1.2285012285012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7879656160458E-2"/>
          <c:y val="0.10565110565110565"/>
          <c:w val="0.88108882521489973"/>
          <c:h val="0.724815724815724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E0-473E-9018-AEF545E699F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">
                  <c:v>-6.9112600001972169E-2</c:v>
                </c:pt>
                <c:pt idx="2">
                  <c:v>-7.0053199997346383E-2</c:v>
                </c:pt>
                <c:pt idx="3">
                  <c:v>-5.9579000000667293E-2</c:v>
                </c:pt>
                <c:pt idx="4">
                  <c:v>-5.4089199998998083E-2</c:v>
                </c:pt>
                <c:pt idx="5">
                  <c:v>-9.1406600004120264E-2</c:v>
                </c:pt>
                <c:pt idx="6">
                  <c:v>-0.10039680000045337</c:v>
                </c:pt>
                <c:pt idx="7">
                  <c:v>-4.7099799994612113E-2</c:v>
                </c:pt>
                <c:pt idx="8">
                  <c:v>-0.10046879999572411</c:v>
                </c:pt>
                <c:pt idx="9">
                  <c:v>-0.14045320000150241</c:v>
                </c:pt>
                <c:pt idx="10">
                  <c:v>-0.15360019999206997</c:v>
                </c:pt>
                <c:pt idx="17">
                  <c:v>-0.41966500000125961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E0-473E-9018-AEF545E699F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E0-473E-9018-AEF545E699F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11">
                  <c:v>-0.15654720000020461</c:v>
                </c:pt>
                <c:pt idx="12">
                  <c:v>-0.17155739999725483</c:v>
                </c:pt>
                <c:pt idx="13">
                  <c:v>-0.18290059999708319</c:v>
                </c:pt>
                <c:pt idx="14">
                  <c:v>-0.18552259999705711</c:v>
                </c:pt>
                <c:pt idx="15">
                  <c:v>-0.23088999999890802</c:v>
                </c:pt>
                <c:pt idx="16">
                  <c:v>-0.23562300000048708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E0-473E-9018-AEF545E699F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E0-473E-9018-AEF545E699F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E0-473E-9018-AEF545E699F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8.9999999999999993E-3</c:v>
                  </c:pt>
                  <c:pt idx="7">
                    <c:v>6.0000000000000001E-3</c:v>
                  </c:pt>
                  <c:pt idx="8">
                    <c:v>8.0000000000000002E-3</c:v>
                  </c:pt>
                  <c:pt idx="9">
                    <c:v>3.0000000000000001E-3</c:v>
                  </c:pt>
                  <c:pt idx="10">
                    <c:v>8.0000000000000002E-3</c:v>
                  </c:pt>
                  <c:pt idx="11">
                    <c:v>2.0999999999999999E-3</c:v>
                  </c:pt>
                  <c:pt idx="12">
                    <c:v>3.3999999999999998E-3</c:v>
                  </c:pt>
                  <c:pt idx="13">
                    <c:v>3.5999999999999999E-3</c:v>
                  </c:pt>
                  <c:pt idx="14">
                    <c:v>2.3E-3</c:v>
                  </c:pt>
                  <c:pt idx="15">
                    <c:v>2.0999999999999999E-3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E0-473E-9018-AEF545E699F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0">
                  <c:v>0.13702705364067175</c:v>
                </c:pt>
                <c:pt idx="1">
                  <c:v>-3.8434688223960595E-2</c:v>
                </c:pt>
                <c:pt idx="2">
                  <c:v>-4.0287813902353031E-2</c:v>
                </c:pt>
                <c:pt idx="3">
                  <c:v>-4.1945873719862053E-2</c:v>
                </c:pt>
                <c:pt idx="4">
                  <c:v>-5.3942424164192121E-2</c:v>
                </c:pt>
                <c:pt idx="5">
                  <c:v>-6.866989666088999E-2</c:v>
                </c:pt>
                <c:pt idx="6">
                  <c:v>-0.10017303319356161</c:v>
                </c:pt>
                <c:pt idx="7">
                  <c:v>-0.10943866158552387</c:v>
                </c:pt>
                <c:pt idx="8">
                  <c:v>-0.12748225371723981</c:v>
                </c:pt>
                <c:pt idx="9">
                  <c:v>-0.13782074434406083</c:v>
                </c:pt>
                <c:pt idx="10">
                  <c:v>-0.15293834856252553</c:v>
                </c:pt>
                <c:pt idx="11">
                  <c:v>-0.16805595278099023</c:v>
                </c:pt>
                <c:pt idx="12">
                  <c:v>-0.18005250322532029</c:v>
                </c:pt>
                <c:pt idx="13">
                  <c:v>-0.19643803553952721</c:v>
                </c:pt>
                <c:pt idx="14">
                  <c:v>-0.19936402345277843</c:v>
                </c:pt>
                <c:pt idx="15">
                  <c:v>-0.23847472855990326</c:v>
                </c:pt>
                <c:pt idx="16">
                  <c:v>-0.24286371042978011</c:v>
                </c:pt>
                <c:pt idx="17">
                  <c:v>-0.3725825079172515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E0-473E-9018-AEF545E699F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1799</c:v>
                </c:pt>
                <c:pt idx="2">
                  <c:v>1818</c:v>
                </c:pt>
                <c:pt idx="3">
                  <c:v>1835</c:v>
                </c:pt>
                <c:pt idx="4">
                  <c:v>1958</c:v>
                </c:pt>
                <c:pt idx="5">
                  <c:v>2109</c:v>
                </c:pt>
                <c:pt idx="6">
                  <c:v>2432</c:v>
                </c:pt>
                <c:pt idx="7">
                  <c:v>2527</c:v>
                </c:pt>
                <c:pt idx="8">
                  <c:v>2712</c:v>
                </c:pt>
                <c:pt idx="9">
                  <c:v>2818</c:v>
                </c:pt>
                <c:pt idx="10">
                  <c:v>2973</c:v>
                </c:pt>
                <c:pt idx="11">
                  <c:v>3128</c:v>
                </c:pt>
                <c:pt idx="12">
                  <c:v>3251</c:v>
                </c:pt>
                <c:pt idx="13">
                  <c:v>3419</c:v>
                </c:pt>
                <c:pt idx="14">
                  <c:v>3449</c:v>
                </c:pt>
                <c:pt idx="15">
                  <c:v>3850</c:v>
                </c:pt>
                <c:pt idx="16">
                  <c:v>3895</c:v>
                </c:pt>
                <c:pt idx="17">
                  <c:v>5225</c:v>
                </c:pt>
              </c:numCache>
            </c:numRef>
          </c:xVal>
          <c:yVal>
            <c:numRef>
              <c:f>'Active 1'!$U$21:$U$993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E0-473E-9018-AEF545E69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925976"/>
        <c:axId val="1"/>
      </c:scatterChart>
      <c:valAx>
        <c:axId val="849925976"/>
        <c:scaling>
          <c:orientation val="minMax"/>
          <c:min val="1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836676217765046"/>
              <c:y val="0.93366093366093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1633237822349575E-3"/>
              <c:y val="0.39312039312039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92597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31518624641834"/>
          <c:y val="0.93611793611793614"/>
          <c:w val="0.68911174785100282"/>
          <c:h val="4.9140049140049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600075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C355ADC-68F4-01AE-0219-77EDC4276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</xdr:colOff>
      <xdr:row>0</xdr:row>
      <xdr:rowOff>57150</xdr:rowOff>
    </xdr:from>
    <xdr:to>
      <xdr:col>27</xdr:col>
      <xdr:colOff>466725</xdr:colOff>
      <xdr:row>17</xdr:row>
      <xdr:rowOff>152400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301F5250-03AD-2D1A-45B4-4F0C5AB2F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11</xdr:col>
      <xdr:colOff>171450</xdr:colOff>
      <xdr:row>23</xdr:row>
      <xdr:rowOff>152400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B2B5204A-8475-2992-5CCF-694C023126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263" TargetMode="External"/><Relationship Id="rId2" Type="http://schemas.openxmlformats.org/officeDocument/2006/relationships/hyperlink" Target="http://www.konkoly.hu/cgi-bin/IBVS?4888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583" TargetMode="External"/><Relationship Id="rId4" Type="http://schemas.openxmlformats.org/officeDocument/2006/relationships/hyperlink" Target="http://www.konkoly.hu/cgi-bin/IBVS?52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workbookViewId="0">
      <selection activeCell="F7" sqref="F7:F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45</v>
      </c>
    </row>
    <row r="2" spans="1:6">
      <c r="A2" t="s">
        <v>24</v>
      </c>
      <c r="B2" s="29" t="s">
        <v>47</v>
      </c>
    </row>
    <row r="4" spans="1:6">
      <c r="A4" s="8" t="s">
        <v>0</v>
      </c>
      <c r="C4" s="11" t="s">
        <v>13</v>
      </c>
      <c r="D4" s="12" t="s">
        <v>13</v>
      </c>
    </row>
    <row r="5" spans="1:6">
      <c r="A5" s="47" t="s">
        <v>135</v>
      </c>
      <c r="B5" s="31"/>
      <c r="C5" s="48">
        <v>-9.5</v>
      </c>
      <c r="D5" s="31" t="s">
        <v>136</v>
      </c>
    </row>
    <row r="6" spans="1:6">
      <c r="A6" s="8" t="s">
        <v>1</v>
      </c>
    </row>
    <row r="7" spans="1:6">
      <c r="A7" t="s">
        <v>2</v>
      </c>
      <c r="C7">
        <v>42950.49</v>
      </c>
    </row>
    <row r="8" spans="1:6">
      <c r="A8" t="s">
        <v>3</v>
      </c>
      <c r="C8">
        <v>2.4642073999999998</v>
      </c>
    </row>
    <row r="9" spans="1:6">
      <c r="A9" s="49" t="s">
        <v>137</v>
      </c>
      <c r="B9" s="50">
        <v>21</v>
      </c>
      <c r="C9" s="51" t="str">
        <f>"F"&amp;B9</f>
        <v>F21</v>
      </c>
      <c r="D9" s="13" t="str">
        <f>"G"&amp;B9</f>
        <v>G21</v>
      </c>
    </row>
    <row r="10" spans="1:6" ht="13.5" thickBot="1">
      <c r="C10" s="7" t="s">
        <v>19</v>
      </c>
      <c r="D10" s="7" t="s">
        <v>20</v>
      </c>
    </row>
    <row r="11" spans="1:6">
      <c r="A11" t="s">
        <v>15</v>
      </c>
      <c r="C11" s="52">
        <f ca="1">INTERCEPT(INDIRECT($D$9):G978,INDIRECT($C$9):F978)</f>
        <v>0.13702705364067175</v>
      </c>
      <c r="D11" s="6"/>
    </row>
    <row r="12" spans="1:6">
      <c r="A12" t="s">
        <v>16</v>
      </c>
      <c r="C12" s="52">
        <f ca="1">SLOPE(INDIRECT($D$9):G978,INDIRECT($C$9):F978)</f>
        <v>-9.7532930441707798E-5</v>
      </c>
      <c r="D12" s="6"/>
    </row>
    <row r="13" spans="1:6">
      <c r="A13" t="s">
        <v>18</v>
      </c>
      <c r="C13" s="6" t="s">
        <v>13</v>
      </c>
      <c r="D13" s="6"/>
    </row>
    <row r="14" spans="1:6">
      <c r="A14" t="s">
        <v>23</v>
      </c>
    </row>
    <row r="15" spans="1:6">
      <c r="A15" s="3" t="s">
        <v>17</v>
      </c>
      <c r="C15" s="18">
        <f ca="1">(C7+C11)+(C8+C12)*INT(MAX(F21:F3533))</f>
        <v>55825.601082492081</v>
      </c>
      <c r="E15" s="53" t="s">
        <v>138</v>
      </c>
      <c r="F15" s="48">
        <v>1</v>
      </c>
    </row>
    <row r="16" spans="1:6">
      <c r="A16" s="8" t="s">
        <v>4</v>
      </c>
      <c r="C16" s="19">
        <f ca="1">+C8+C12</f>
        <v>2.464109867069558</v>
      </c>
      <c r="E16" s="53" t="s">
        <v>139</v>
      </c>
      <c r="F16" s="54">
        <f ca="1">NOW()+15018.5+$C$5/24</f>
        <v>60344.76208310185</v>
      </c>
    </row>
    <row r="17" spans="1:31" ht="13.5" thickBot="1">
      <c r="A17" s="20" t="s">
        <v>44</v>
      </c>
      <c r="C17">
        <f>COUNT(C21:C2191)</f>
        <v>18</v>
      </c>
      <c r="E17" s="53" t="s">
        <v>140</v>
      </c>
      <c r="F17" s="54">
        <f ca="1">ROUND(2*(F16-$C$7)/$C$8,0)/2+F15</f>
        <v>7060</v>
      </c>
    </row>
    <row r="18" spans="1:31">
      <c r="A18" s="8" t="s">
        <v>5</v>
      </c>
      <c r="C18" s="4">
        <f ca="1">+C15</f>
        <v>55825.601082492081</v>
      </c>
      <c r="D18" s="5">
        <f ca="1">+C16</f>
        <v>2.464109867069558</v>
      </c>
      <c r="E18" s="53" t="s">
        <v>141</v>
      </c>
      <c r="F18" s="13">
        <f ca="1">ROUND(2*(F16-$C$15)/$C$16,0)/2+F15</f>
        <v>1835</v>
      </c>
    </row>
    <row r="19" spans="1:31" ht="13.5" thickTop="1">
      <c r="E19" s="53" t="s">
        <v>142</v>
      </c>
      <c r="F19" s="55">
        <f ca="1">+$C$15+$C$16*F18-15018.5-$C$5/24</f>
        <v>45329.138521898058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55</v>
      </c>
      <c r="I20" s="10" t="s">
        <v>58</v>
      </c>
      <c r="J20" s="10" t="s">
        <v>52</v>
      </c>
      <c r="K20" s="10" t="s">
        <v>50</v>
      </c>
      <c r="L20" s="10" t="s">
        <v>25</v>
      </c>
      <c r="M20" s="10" t="s">
        <v>26</v>
      </c>
      <c r="N20" s="10" t="s">
        <v>27</v>
      </c>
      <c r="O20" s="10" t="s">
        <v>22</v>
      </c>
      <c r="P20" s="9" t="s">
        <v>21</v>
      </c>
      <c r="Q20" s="7" t="s">
        <v>14</v>
      </c>
      <c r="U20" s="56" t="s">
        <v>143</v>
      </c>
    </row>
    <row r="21" spans="1:31">
      <c r="A21" t="s">
        <v>39</v>
      </c>
      <c r="B21" s="6"/>
      <c r="C21" s="24">
        <v>42950.49</v>
      </c>
      <c r="D21" s="24"/>
      <c r="E21">
        <f t="shared" ref="E21:E36" si="0">+(C21-C$7)/C$8</f>
        <v>0</v>
      </c>
      <c r="F21">
        <f t="shared" ref="F21:F38" si="1">ROUND(2*E21,0)/2</f>
        <v>0</v>
      </c>
      <c r="H21" s="13">
        <v>0</v>
      </c>
      <c r="O21">
        <f t="shared" ref="O21:O36" ca="1" si="2">+C$11+C$12*F21</f>
        <v>0.13702705364067175</v>
      </c>
      <c r="Q21" s="2">
        <f t="shared" ref="Q21:Q36" si="3">+C21-15018.5</f>
        <v>27931.989999999998</v>
      </c>
    </row>
    <row r="22" spans="1:31">
      <c r="A22" t="s">
        <v>29</v>
      </c>
      <c r="B22" s="6"/>
      <c r="C22" s="25">
        <v>47383.53</v>
      </c>
      <c r="D22" s="24"/>
      <c r="E22">
        <f t="shared" si="0"/>
        <v>1798.9719534159346</v>
      </c>
      <c r="F22">
        <f t="shared" si="1"/>
        <v>1799</v>
      </c>
      <c r="G22">
        <f t="shared" ref="G22:G36" si="4">+C22-(C$7+F22*C$8)</f>
        <v>-6.9112600001972169E-2</v>
      </c>
      <c r="I22">
        <f t="shared" ref="I22:I31" si="5">+G22</f>
        <v>-6.9112600001972169E-2</v>
      </c>
      <c r="O22">
        <f t="shared" ca="1" si="2"/>
        <v>-3.8434688223960595E-2</v>
      </c>
      <c r="Q22" s="2">
        <f t="shared" si="3"/>
        <v>32365.03</v>
      </c>
    </row>
    <row r="23" spans="1:31">
      <c r="A23" t="s">
        <v>29</v>
      </c>
      <c r="B23" s="6"/>
      <c r="C23" s="25">
        <v>47430.349000000002</v>
      </c>
      <c r="D23" s="24"/>
      <c r="E23">
        <f t="shared" si="0"/>
        <v>1817.9715717110516</v>
      </c>
      <c r="F23">
        <f t="shared" si="1"/>
        <v>1818</v>
      </c>
      <c r="G23">
        <f t="shared" si="4"/>
        <v>-7.0053199997346383E-2</v>
      </c>
      <c r="I23">
        <f t="shared" si="5"/>
        <v>-7.0053199997346383E-2</v>
      </c>
      <c r="O23">
        <f t="shared" ca="1" si="2"/>
        <v>-4.0287813902353031E-2</v>
      </c>
      <c r="Q23" s="2">
        <f t="shared" si="3"/>
        <v>32411.849000000002</v>
      </c>
      <c r="AA23">
        <v>10</v>
      </c>
      <c r="AC23" t="s">
        <v>28</v>
      </c>
      <c r="AE23" t="s">
        <v>30</v>
      </c>
    </row>
    <row r="24" spans="1:31">
      <c r="A24" t="s">
        <v>31</v>
      </c>
      <c r="B24" s="6"/>
      <c r="C24" s="25">
        <v>47472.250999999997</v>
      </c>
      <c r="D24" s="24"/>
      <c r="E24">
        <f t="shared" si="0"/>
        <v>1834.9758222461303</v>
      </c>
      <c r="F24">
        <f t="shared" si="1"/>
        <v>1835</v>
      </c>
      <c r="G24">
        <f t="shared" si="4"/>
        <v>-5.9579000000667293E-2</v>
      </c>
      <c r="I24">
        <f t="shared" si="5"/>
        <v>-5.9579000000667293E-2</v>
      </c>
      <c r="O24">
        <f t="shared" ca="1" si="2"/>
        <v>-4.1945873719862053E-2</v>
      </c>
      <c r="Q24" s="2">
        <f t="shared" si="3"/>
        <v>32453.750999999997</v>
      </c>
      <c r="AA24">
        <v>8</v>
      </c>
      <c r="AC24" t="s">
        <v>28</v>
      </c>
      <c r="AE24" t="s">
        <v>30</v>
      </c>
    </row>
    <row r="25" spans="1:31">
      <c r="A25" t="s">
        <v>32</v>
      </c>
      <c r="B25" s="6"/>
      <c r="C25" s="25">
        <v>47775.353999999999</v>
      </c>
      <c r="D25" s="24"/>
      <c r="E25">
        <f t="shared" si="0"/>
        <v>1957.9780500618583</v>
      </c>
      <c r="F25">
        <f t="shared" si="1"/>
        <v>1958</v>
      </c>
      <c r="G25">
        <f t="shared" si="4"/>
        <v>-5.4089199998998083E-2</v>
      </c>
      <c r="I25">
        <f t="shared" si="5"/>
        <v>-5.4089199998998083E-2</v>
      </c>
      <c r="O25">
        <f t="shared" ca="1" si="2"/>
        <v>-5.3942424164192121E-2</v>
      </c>
      <c r="Q25" s="2">
        <f t="shared" si="3"/>
        <v>32756.853999999999</v>
      </c>
      <c r="AA25">
        <v>6</v>
      </c>
      <c r="AC25" t="s">
        <v>28</v>
      </c>
      <c r="AE25" t="s">
        <v>30</v>
      </c>
    </row>
    <row r="26" spans="1:31">
      <c r="A26" t="s">
        <v>33</v>
      </c>
      <c r="B26" s="6"/>
      <c r="C26" s="25">
        <v>48147.411999999997</v>
      </c>
      <c r="D26" s="24"/>
      <c r="E26">
        <f t="shared" si="0"/>
        <v>2108.9629062878389</v>
      </c>
      <c r="F26">
        <f t="shared" si="1"/>
        <v>2109</v>
      </c>
      <c r="G26">
        <f t="shared" si="4"/>
        <v>-9.1406600004120264E-2</v>
      </c>
      <c r="I26">
        <f t="shared" si="5"/>
        <v>-9.1406600004120264E-2</v>
      </c>
      <c r="O26">
        <f t="shared" ca="1" si="2"/>
        <v>-6.866989666088999E-2</v>
      </c>
      <c r="Q26" s="2">
        <f t="shared" si="3"/>
        <v>33128.911999999997</v>
      </c>
      <c r="AA26">
        <v>4</v>
      </c>
      <c r="AC26" t="s">
        <v>28</v>
      </c>
      <c r="AE26" t="s">
        <v>30</v>
      </c>
    </row>
    <row r="27" spans="1:31">
      <c r="A27" t="s">
        <v>34</v>
      </c>
      <c r="B27" s="6"/>
      <c r="C27" s="25">
        <v>48943.341999999997</v>
      </c>
      <c r="D27" s="24">
        <v>8.9999999999999993E-3</v>
      </c>
      <c r="E27">
        <f t="shared" si="0"/>
        <v>2431.959257974795</v>
      </c>
      <c r="F27">
        <f t="shared" si="1"/>
        <v>2432</v>
      </c>
      <c r="G27">
        <f t="shared" si="4"/>
        <v>-0.10039680000045337</v>
      </c>
      <c r="I27">
        <f t="shared" si="5"/>
        <v>-0.10039680000045337</v>
      </c>
      <c r="O27">
        <f t="shared" ca="1" si="2"/>
        <v>-0.10017303319356161</v>
      </c>
      <c r="Q27" s="2">
        <f t="shared" si="3"/>
        <v>33924.841999999997</v>
      </c>
      <c r="AA27">
        <v>4</v>
      </c>
      <c r="AC27" t="s">
        <v>28</v>
      </c>
      <c r="AE27" t="s">
        <v>30</v>
      </c>
    </row>
    <row r="28" spans="1:31">
      <c r="A28" t="s">
        <v>35</v>
      </c>
      <c r="B28" s="6"/>
      <c r="C28" s="25">
        <v>49177.495000000003</v>
      </c>
      <c r="D28" s="24">
        <v>6.0000000000000001E-3</v>
      </c>
      <c r="E28">
        <f t="shared" si="0"/>
        <v>2526.9808864302595</v>
      </c>
      <c r="F28">
        <f t="shared" si="1"/>
        <v>2527</v>
      </c>
      <c r="G28">
        <f t="shared" si="4"/>
        <v>-4.7099799994612113E-2</v>
      </c>
      <c r="I28">
        <f t="shared" si="5"/>
        <v>-4.7099799994612113E-2</v>
      </c>
      <c r="O28">
        <f t="shared" ca="1" si="2"/>
        <v>-0.10943866158552387</v>
      </c>
      <c r="Q28" s="2">
        <f t="shared" si="3"/>
        <v>34158.995000000003</v>
      </c>
      <c r="AA28">
        <v>5</v>
      </c>
      <c r="AC28" t="s">
        <v>28</v>
      </c>
      <c r="AE28" t="s">
        <v>30</v>
      </c>
    </row>
    <row r="29" spans="1:31">
      <c r="A29" t="s">
        <v>36</v>
      </c>
      <c r="B29" s="6"/>
      <c r="C29" s="25">
        <v>49633.32</v>
      </c>
      <c r="D29" s="24">
        <v>8.0000000000000002E-3</v>
      </c>
      <c r="E29">
        <f t="shared" si="0"/>
        <v>2711.9592287564765</v>
      </c>
      <c r="F29">
        <f t="shared" si="1"/>
        <v>2712</v>
      </c>
      <c r="G29">
        <f t="shared" si="4"/>
        <v>-0.10046879999572411</v>
      </c>
      <c r="I29">
        <f t="shared" si="5"/>
        <v>-0.10046879999572411</v>
      </c>
      <c r="O29">
        <f t="shared" ca="1" si="2"/>
        <v>-0.12748225371723981</v>
      </c>
      <c r="Q29" s="2">
        <f t="shared" si="3"/>
        <v>34614.82</v>
      </c>
      <c r="AA29">
        <v>6</v>
      </c>
      <c r="AC29" t="s">
        <v>28</v>
      </c>
      <c r="AE29" t="s">
        <v>30</v>
      </c>
    </row>
    <row r="30" spans="1:31">
      <c r="A30" t="s">
        <v>37</v>
      </c>
      <c r="B30" s="6"/>
      <c r="C30" s="25">
        <v>49894.485999999997</v>
      </c>
      <c r="D30" s="24">
        <v>3.0000000000000001E-3</v>
      </c>
      <c r="E30">
        <f t="shared" si="0"/>
        <v>2817.9430026871923</v>
      </c>
      <c r="F30">
        <f t="shared" si="1"/>
        <v>2818</v>
      </c>
      <c r="G30">
        <f t="shared" si="4"/>
        <v>-0.14045320000150241</v>
      </c>
      <c r="I30">
        <f t="shared" si="5"/>
        <v>-0.14045320000150241</v>
      </c>
      <c r="O30">
        <f t="shared" ca="1" si="2"/>
        <v>-0.13782074434406083</v>
      </c>
      <c r="Q30" s="2">
        <f t="shared" si="3"/>
        <v>34875.985999999997</v>
      </c>
      <c r="AA30">
        <v>6</v>
      </c>
      <c r="AC30" t="s">
        <v>28</v>
      </c>
      <c r="AE30" t="s">
        <v>30</v>
      </c>
    </row>
    <row r="31" spans="1:31">
      <c r="A31" t="s">
        <v>38</v>
      </c>
      <c r="B31" s="6"/>
      <c r="C31" s="25">
        <v>50276.425000000003</v>
      </c>
      <c r="D31" s="24">
        <v>8.0000000000000002E-3</v>
      </c>
      <c r="E31">
        <f t="shared" si="0"/>
        <v>2972.9376675031517</v>
      </c>
      <c r="F31">
        <f t="shared" si="1"/>
        <v>2973</v>
      </c>
      <c r="G31">
        <f t="shared" si="4"/>
        <v>-0.15360019999206997</v>
      </c>
      <c r="I31">
        <f t="shared" si="5"/>
        <v>-0.15360019999206997</v>
      </c>
      <c r="O31">
        <f t="shared" ca="1" si="2"/>
        <v>-0.15293834856252553</v>
      </c>
      <c r="Q31" s="2">
        <f t="shared" si="3"/>
        <v>35257.925000000003</v>
      </c>
      <c r="AA31">
        <v>5</v>
      </c>
      <c r="AC31" t="s">
        <v>28</v>
      </c>
      <c r="AE31" t="s">
        <v>30</v>
      </c>
    </row>
    <row r="32" spans="1:31">
      <c r="A32" t="s">
        <v>41</v>
      </c>
      <c r="B32" s="6"/>
      <c r="C32" s="24">
        <v>50658.374199999998</v>
      </c>
      <c r="D32" s="24">
        <v>2.0999999999999999E-3</v>
      </c>
      <c r="E32">
        <f t="shared" si="0"/>
        <v>3127.9364715810857</v>
      </c>
      <c r="F32">
        <f t="shared" si="1"/>
        <v>3128</v>
      </c>
      <c r="G32">
        <f t="shared" si="4"/>
        <v>-0.15654720000020461</v>
      </c>
      <c r="K32">
        <f t="shared" ref="K32:K38" si="6">+G32</f>
        <v>-0.15654720000020461</v>
      </c>
      <c r="O32">
        <f t="shared" ca="1" si="2"/>
        <v>-0.16805595278099023</v>
      </c>
      <c r="Q32" s="2">
        <f t="shared" si="3"/>
        <v>35639.874199999998</v>
      </c>
    </row>
    <row r="33" spans="1:17">
      <c r="A33" t="s">
        <v>42</v>
      </c>
      <c r="B33" s="6"/>
      <c r="C33" s="24">
        <v>50961.456700000002</v>
      </c>
      <c r="D33" s="24">
        <v>3.3999999999999998E-3</v>
      </c>
      <c r="E33">
        <f t="shared" si="0"/>
        <v>3250.9303802918557</v>
      </c>
      <c r="F33">
        <f t="shared" si="1"/>
        <v>3251</v>
      </c>
      <c r="G33">
        <f t="shared" si="4"/>
        <v>-0.17155739999725483</v>
      </c>
      <c r="K33">
        <f t="shared" si="6"/>
        <v>-0.17155739999725483</v>
      </c>
      <c r="O33">
        <f t="shared" ca="1" si="2"/>
        <v>-0.18005250322532029</v>
      </c>
      <c r="Q33" s="2">
        <f t="shared" si="3"/>
        <v>35942.956700000002</v>
      </c>
    </row>
    <row r="34" spans="1:17">
      <c r="A34" t="s">
        <v>39</v>
      </c>
      <c r="B34" s="6" t="s">
        <v>40</v>
      </c>
      <c r="C34" s="26">
        <v>51375.432200000003</v>
      </c>
      <c r="D34" s="26">
        <v>3.5999999999999999E-3</v>
      </c>
      <c r="E34">
        <f t="shared" si="0"/>
        <v>3418.9257771078869</v>
      </c>
      <c r="F34">
        <f t="shared" si="1"/>
        <v>3419</v>
      </c>
      <c r="G34">
        <f t="shared" si="4"/>
        <v>-0.18290059999708319</v>
      </c>
      <c r="K34">
        <f t="shared" si="6"/>
        <v>-0.18290059999708319</v>
      </c>
      <c r="O34">
        <f t="shared" ca="1" si="2"/>
        <v>-0.19643803553952721</v>
      </c>
      <c r="Q34" s="2">
        <f t="shared" si="3"/>
        <v>36356.932200000003</v>
      </c>
    </row>
    <row r="35" spans="1:17">
      <c r="A35" t="s">
        <v>39</v>
      </c>
      <c r="B35" s="6" t="s">
        <v>40</v>
      </c>
      <c r="C35" s="26">
        <v>51449.355799999998</v>
      </c>
      <c r="D35" s="26">
        <v>2.3E-3</v>
      </c>
      <c r="E35">
        <f t="shared" si="0"/>
        <v>3448.92471307407</v>
      </c>
      <c r="F35">
        <f t="shared" si="1"/>
        <v>3449</v>
      </c>
      <c r="G35">
        <f t="shared" si="4"/>
        <v>-0.18552259999705711</v>
      </c>
      <c r="K35">
        <f t="shared" si="6"/>
        <v>-0.18552259999705711</v>
      </c>
      <c r="O35">
        <f t="shared" ca="1" si="2"/>
        <v>-0.19936402345277843</v>
      </c>
      <c r="Q35" s="2">
        <f t="shared" si="3"/>
        <v>36430.855799999998</v>
      </c>
    </row>
    <row r="36" spans="1:17">
      <c r="A36" s="17" t="s">
        <v>43</v>
      </c>
      <c r="B36" s="16" t="s">
        <v>40</v>
      </c>
      <c r="C36" s="27">
        <v>52437.457600000002</v>
      </c>
      <c r="D36" s="27">
        <v>2.0999999999999999E-3</v>
      </c>
      <c r="E36">
        <f t="shared" si="0"/>
        <v>3849.9063025295695</v>
      </c>
      <c r="F36">
        <f t="shared" si="1"/>
        <v>3850</v>
      </c>
      <c r="G36">
        <f t="shared" si="4"/>
        <v>-0.23088999999890802</v>
      </c>
      <c r="K36">
        <f t="shared" si="6"/>
        <v>-0.23088999999890802</v>
      </c>
      <c r="O36">
        <f t="shared" ca="1" si="2"/>
        <v>-0.23847472855990326</v>
      </c>
      <c r="Q36" s="2">
        <f t="shared" si="3"/>
        <v>37418.957600000002</v>
      </c>
    </row>
    <row r="37" spans="1:17">
      <c r="A37" s="21" t="s">
        <v>46</v>
      </c>
      <c r="B37" s="22" t="s">
        <v>40</v>
      </c>
      <c r="C37" s="23">
        <v>52548.342199999999</v>
      </c>
      <c r="D37" s="23">
        <v>1.1999999999999999E-3</v>
      </c>
      <c r="E37">
        <f>+(C37-C$7)/C$8</f>
        <v>3894.9043818308483</v>
      </c>
      <c r="F37">
        <f t="shared" si="1"/>
        <v>3895</v>
      </c>
      <c r="G37">
        <f>+C37-(C$7+F37*C$8)</f>
        <v>-0.23562300000048708</v>
      </c>
      <c r="K37">
        <f t="shared" si="6"/>
        <v>-0.23562300000048708</v>
      </c>
      <c r="O37">
        <f ca="1">+C$11+C$12*F37</f>
        <v>-0.24286371042978011</v>
      </c>
      <c r="Q37" s="2">
        <f>+C37-15018.5</f>
        <v>37529.842199999999</v>
      </c>
    </row>
    <row r="38" spans="1:17">
      <c r="A38" s="44" t="s">
        <v>134</v>
      </c>
      <c r="B38" s="45" t="s">
        <v>40</v>
      </c>
      <c r="C38" s="46">
        <v>55825.553999999996</v>
      </c>
      <c r="D38" s="46" t="s">
        <v>58</v>
      </c>
      <c r="E38">
        <f>+(C38-C$7)/C$8</f>
        <v>5224.8296957472003</v>
      </c>
      <c r="F38">
        <f t="shared" si="1"/>
        <v>5225</v>
      </c>
      <c r="G38">
        <f>+C38-(C$7+F38*C$8)</f>
        <v>-0.41966500000125961</v>
      </c>
      <c r="I38">
        <f>+G38</f>
        <v>-0.41966500000125961</v>
      </c>
      <c r="O38">
        <f ca="1">+C$11+C$12*F38</f>
        <v>-0.3725825079172515</v>
      </c>
      <c r="Q38" s="2">
        <f>+C38-15018.5</f>
        <v>40807.053999999996</v>
      </c>
    </row>
    <row r="39" spans="1:17">
      <c r="A39" s="15"/>
      <c r="B39" s="14"/>
      <c r="C39" s="26"/>
      <c r="D39" s="28"/>
      <c r="Q39" s="2"/>
    </row>
    <row r="40" spans="1:17">
      <c r="C40" s="24"/>
      <c r="D40" s="24"/>
    </row>
    <row r="41" spans="1:17">
      <c r="C41" s="24"/>
      <c r="D41" s="24"/>
    </row>
    <row r="42" spans="1:17">
      <c r="C42" s="24"/>
      <c r="D42" s="24"/>
    </row>
    <row r="43" spans="1:17">
      <c r="C43" s="24"/>
      <c r="D43" s="24"/>
    </row>
    <row r="44" spans="1:17">
      <c r="C44" s="24"/>
      <c r="D44" s="24"/>
    </row>
    <row r="45" spans="1:17">
      <c r="C45" s="24"/>
      <c r="D45" s="24"/>
    </row>
    <row r="46" spans="1:17">
      <c r="C46" s="24"/>
      <c r="D46" s="24"/>
    </row>
    <row r="47" spans="1:17">
      <c r="C47" s="24"/>
      <c r="D47" s="24"/>
    </row>
    <row r="48" spans="1:17">
      <c r="C48" s="24"/>
      <c r="D48" s="24"/>
    </row>
    <row r="49" spans="3:4">
      <c r="C49" s="24"/>
      <c r="D49" s="24"/>
    </row>
    <row r="50" spans="3:4">
      <c r="C50" s="24"/>
      <c r="D50" s="24"/>
    </row>
    <row r="51" spans="3:4">
      <c r="C51" s="24"/>
      <c r="D51" s="24"/>
    </row>
    <row r="52" spans="3:4">
      <c r="C52" s="24"/>
      <c r="D52" s="24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6"/>
  <sheetViews>
    <sheetView topLeftCell="A4" workbookViewId="0">
      <selection activeCell="A27" sqref="A27:D27"/>
    </sheetView>
  </sheetViews>
  <sheetFormatPr defaultRowHeight="12.75"/>
  <cols>
    <col min="1" max="1" width="19.7109375" style="24" customWidth="1"/>
    <col min="2" max="2" width="4.42578125" style="31" customWidth="1"/>
    <col min="3" max="3" width="12.7109375" style="24" customWidth="1"/>
    <col min="4" max="4" width="5.42578125" style="31" customWidth="1"/>
    <col min="5" max="5" width="14.85546875" style="31" customWidth="1"/>
    <col min="6" max="6" width="9.140625" style="31"/>
    <col min="7" max="7" width="12" style="31" customWidth="1"/>
    <col min="8" max="8" width="14.140625" style="24" customWidth="1"/>
    <col min="9" max="9" width="22.5703125" style="31" customWidth="1"/>
    <col min="10" max="10" width="25.140625" style="31" customWidth="1"/>
    <col min="11" max="11" width="15.7109375" style="31" customWidth="1"/>
    <col min="12" max="12" width="14.140625" style="31" customWidth="1"/>
    <col min="13" max="13" width="9.5703125" style="31" customWidth="1"/>
    <col min="14" max="14" width="14.140625" style="31" customWidth="1"/>
    <col min="15" max="15" width="23.42578125" style="31" customWidth="1"/>
    <col min="16" max="16" width="16.5703125" style="31" customWidth="1"/>
    <col min="17" max="17" width="41" style="31" customWidth="1"/>
    <col min="18" max="16384" width="9.140625" style="31"/>
  </cols>
  <sheetData>
    <row r="1" spans="1:16" ht="15.75">
      <c r="A1" s="30" t="s">
        <v>48</v>
      </c>
      <c r="I1" s="32" t="s">
        <v>49</v>
      </c>
      <c r="J1" s="33" t="s">
        <v>50</v>
      </c>
    </row>
    <row r="2" spans="1:16">
      <c r="I2" s="34" t="s">
        <v>51</v>
      </c>
      <c r="J2" s="35" t="s">
        <v>52</v>
      </c>
    </row>
    <row r="3" spans="1:16">
      <c r="A3" s="36" t="s">
        <v>53</v>
      </c>
      <c r="I3" s="34" t="s">
        <v>54</v>
      </c>
      <c r="J3" s="35" t="s">
        <v>55</v>
      </c>
    </row>
    <row r="4" spans="1:16">
      <c r="I4" s="34" t="s">
        <v>56</v>
      </c>
      <c r="J4" s="35" t="s">
        <v>55</v>
      </c>
    </row>
    <row r="5" spans="1:16" ht="13.5" thickBot="1">
      <c r="I5" s="37" t="s">
        <v>57</v>
      </c>
      <c r="J5" s="38" t="s">
        <v>58</v>
      </c>
    </row>
    <row r="10" spans="1:16" ht="13.5" thickBot="1"/>
    <row r="11" spans="1:16" ht="12.75" customHeight="1" thickBot="1">
      <c r="A11" s="24" t="str">
        <f t="shared" ref="A11:A27" si="0">P11</f>
        <v> BBS 89 </v>
      </c>
      <c r="B11" s="6" t="str">
        <f t="shared" ref="B11:B27" si="1">IF(H11=INT(H11),"I","II")</f>
        <v>I</v>
      </c>
      <c r="C11" s="24">
        <f t="shared" ref="C11:C27" si="2">1*G11</f>
        <v>47383.53</v>
      </c>
      <c r="D11" s="31" t="str">
        <f t="shared" ref="D11:D27" si="3">VLOOKUP(F11,I$1:J$5,2,FALSE)</f>
        <v>vis</v>
      </c>
      <c r="E11" s="39">
        <f>VLOOKUP(C11,'Active 1'!C$21:E$973,3,FALSE)</f>
        <v>1798.9719534159346</v>
      </c>
      <c r="F11" s="6" t="s">
        <v>57</v>
      </c>
      <c r="G11" s="31" t="str">
        <f t="shared" ref="G11:G27" si="4">MID(I11,3,LEN(I11)-3)</f>
        <v>47383.530</v>
      </c>
      <c r="H11" s="24">
        <f t="shared" ref="H11:H27" si="5">1*K11</f>
        <v>-2077</v>
      </c>
      <c r="I11" s="40" t="s">
        <v>59</v>
      </c>
      <c r="J11" s="41" t="s">
        <v>60</v>
      </c>
      <c r="K11" s="40">
        <v>-2077</v>
      </c>
      <c r="L11" s="40" t="s">
        <v>61</v>
      </c>
      <c r="M11" s="41" t="s">
        <v>62</v>
      </c>
      <c r="N11" s="41"/>
      <c r="O11" s="42" t="s">
        <v>63</v>
      </c>
      <c r="P11" s="42" t="s">
        <v>64</v>
      </c>
    </row>
    <row r="12" spans="1:16" ht="12.75" customHeight="1" thickBot="1">
      <c r="A12" s="24" t="str">
        <f t="shared" si="0"/>
        <v> BBS 89 </v>
      </c>
      <c r="B12" s="6" t="str">
        <f t="shared" si="1"/>
        <v>I</v>
      </c>
      <c r="C12" s="24">
        <f t="shared" si="2"/>
        <v>47430.349000000002</v>
      </c>
      <c r="D12" s="31" t="str">
        <f t="shared" si="3"/>
        <v>vis</v>
      </c>
      <c r="E12" s="39">
        <f>VLOOKUP(C12,'Active 1'!C$21:E$973,3,FALSE)</f>
        <v>1817.9715717110516</v>
      </c>
      <c r="F12" s="6" t="s">
        <v>57</v>
      </c>
      <c r="G12" s="31" t="str">
        <f t="shared" si="4"/>
        <v>47430.349</v>
      </c>
      <c r="H12" s="24">
        <f t="shared" si="5"/>
        <v>-2058</v>
      </c>
      <c r="I12" s="40" t="s">
        <v>65</v>
      </c>
      <c r="J12" s="41" t="s">
        <v>66</v>
      </c>
      <c r="K12" s="40">
        <v>-2058</v>
      </c>
      <c r="L12" s="40" t="s">
        <v>67</v>
      </c>
      <c r="M12" s="41" t="s">
        <v>62</v>
      </c>
      <c r="N12" s="41"/>
      <c r="O12" s="42" t="s">
        <v>63</v>
      </c>
      <c r="P12" s="42" t="s">
        <v>64</v>
      </c>
    </row>
    <row r="13" spans="1:16" ht="12.75" customHeight="1" thickBot="1">
      <c r="A13" s="24" t="str">
        <f t="shared" si="0"/>
        <v> BBS 90 </v>
      </c>
      <c r="B13" s="6" t="str">
        <f t="shared" si="1"/>
        <v>I</v>
      </c>
      <c r="C13" s="24">
        <f t="shared" si="2"/>
        <v>47472.250999999997</v>
      </c>
      <c r="D13" s="31" t="str">
        <f t="shared" si="3"/>
        <v>vis</v>
      </c>
      <c r="E13" s="39">
        <f>VLOOKUP(C13,'Active 1'!C$21:E$973,3,FALSE)</f>
        <v>1834.9758222461303</v>
      </c>
      <c r="F13" s="6" t="s">
        <v>57</v>
      </c>
      <c r="G13" s="31" t="str">
        <f t="shared" si="4"/>
        <v>47472.251</v>
      </c>
      <c r="H13" s="24">
        <f t="shared" si="5"/>
        <v>-2041</v>
      </c>
      <c r="I13" s="40" t="s">
        <v>68</v>
      </c>
      <c r="J13" s="41" t="s">
        <v>69</v>
      </c>
      <c r="K13" s="40">
        <v>-2041</v>
      </c>
      <c r="L13" s="40" t="s">
        <v>70</v>
      </c>
      <c r="M13" s="41" t="s">
        <v>62</v>
      </c>
      <c r="N13" s="41"/>
      <c r="O13" s="42" t="s">
        <v>63</v>
      </c>
      <c r="P13" s="42" t="s">
        <v>71</v>
      </c>
    </row>
    <row r="14" spans="1:16" ht="12.75" customHeight="1" thickBot="1">
      <c r="A14" s="24" t="str">
        <f t="shared" si="0"/>
        <v> BBS 92 </v>
      </c>
      <c r="B14" s="6" t="str">
        <f t="shared" si="1"/>
        <v>I</v>
      </c>
      <c r="C14" s="24">
        <f t="shared" si="2"/>
        <v>47775.353999999999</v>
      </c>
      <c r="D14" s="31" t="str">
        <f t="shared" si="3"/>
        <v>vis</v>
      </c>
      <c r="E14" s="39">
        <f>VLOOKUP(C14,'Active 1'!C$21:E$973,3,FALSE)</f>
        <v>1957.9780500618583</v>
      </c>
      <c r="F14" s="6" t="s">
        <v>57</v>
      </c>
      <c r="G14" s="31" t="str">
        <f t="shared" si="4"/>
        <v>47775.354</v>
      </c>
      <c r="H14" s="24">
        <f t="shared" si="5"/>
        <v>-1918</v>
      </c>
      <c r="I14" s="40" t="s">
        <v>72</v>
      </c>
      <c r="J14" s="41" t="s">
        <v>73</v>
      </c>
      <c r="K14" s="40">
        <v>-1918</v>
      </c>
      <c r="L14" s="40" t="s">
        <v>74</v>
      </c>
      <c r="M14" s="41" t="s">
        <v>62</v>
      </c>
      <c r="N14" s="41"/>
      <c r="O14" s="42" t="s">
        <v>63</v>
      </c>
      <c r="P14" s="42" t="s">
        <v>75</v>
      </c>
    </row>
    <row r="15" spans="1:16" ht="12.75" customHeight="1" thickBot="1">
      <c r="A15" s="24" t="str">
        <f t="shared" si="0"/>
        <v> BBS 96 </v>
      </c>
      <c r="B15" s="6" t="str">
        <f t="shared" si="1"/>
        <v>I</v>
      </c>
      <c r="C15" s="24">
        <f t="shared" si="2"/>
        <v>48147.411999999997</v>
      </c>
      <c r="D15" s="31" t="str">
        <f t="shared" si="3"/>
        <v>vis</v>
      </c>
      <c r="E15" s="39">
        <f>VLOOKUP(C15,'Active 1'!C$21:E$973,3,FALSE)</f>
        <v>2108.9629062878389</v>
      </c>
      <c r="F15" s="6" t="s">
        <v>57</v>
      </c>
      <c r="G15" s="31" t="str">
        <f t="shared" si="4"/>
        <v>48147.412</v>
      </c>
      <c r="H15" s="24">
        <f t="shared" si="5"/>
        <v>-1767</v>
      </c>
      <c r="I15" s="40" t="s">
        <v>76</v>
      </c>
      <c r="J15" s="41" t="s">
        <v>77</v>
      </c>
      <c r="K15" s="40">
        <v>-1767</v>
      </c>
      <c r="L15" s="40" t="s">
        <v>78</v>
      </c>
      <c r="M15" s="41" t="s">
        <v>62</v>
      </c>
      <c r="N15" s="41"/>
      <c r="O15" s="42" t="s">
        <v>63</v>
      </c>
      <c r="P15" s="42" t="s">
        <v>79</v>
      </c>
    </row>
    <row r="16" spans="1:16" ht="12.75" customHeight="1" thickBot="1">
      <c r="A16" s="24" t="str">
        <f t="shared" si="0"/>
        <v> BBS 102 </v>
      </c>
      <c r="B16" s="6" t="str">
        <f t="shared" si="1"/>
        <v>I</v>
      </c>
      <c r="C16" s="24">
        <f t="shared" si="2"/>
        <v>48943.341999999997</v>
      </c>
      <c r="D16" s="31" t="str">
        <f t="shared" si="3"/>
        <v>vis</v>
      </c>
      <c r="E16" s="39">
        <f>VLOOKUP(C16,'Active 1'!C$21:E$973,3,FALSE)</f>
        <v>2431.959257974795</v>
      </c>
      <c r="F16" s="6" t="s">
        <v>57</v>
      </c>
      <c r="G16" s="31" t="str">
        <f t="shared" si="4"/>
        <v>48943.342</v>
      </c>
      <c r="H16" s="24">
        <f t="shared" si="5"/>
        <v>-1444</v>
      </c>
      <c r="I16" s="40" t="s">
        <v>80</v>
      </c>
      <c r="J16" s="41" t="s">
        <v>81</v>
      </c>
      <c r="K16" s="40">
        <v>-1444</v>
      </c>
      <c r="L16" s="40" t="s">
        <v>82</v>
      </c>
      <c r="M16" s="41" t="s">
        <v>62</v>
      </c>
      <c r="N16" s="41"/>
      <c r="O16" s="42" t="s">
        <v>63</v>
      </c>
      <c r="P16" s="42" t="s">
        <v>83</v>
      </c>
    </row>
    <row r="17" spans="1:16" ht="12.75" customHeight="1" thickBot="1">
      <c r="A17" s="24" t="str">
        <f t="shared" si="0"/>
        <v> BBS 104 </v>
      </c>
      <c r="B17" s="6" t="str">
        <f t="shared" si="1"/>
        <v>I</v>
      </c>
      <c r="C17" s="24">
        <f t="shared" si="2"/>
        <v>49177.495000000003</v>
      </c>
      <c r="D17" s="31" t="str">
        <f t="shared" si="3"/>
        <v>vis</v>
      </c>
      <c r="E17" s="39">
        <f>VLOOKUP(C17,'Active 1'!C$21:E$973,3,FALSE)</f>
        <v>2526.9808864302595</v>
      </c>
      <c r="F17" s="6" t="s">
        <v>57</v>
      </c>
      <c r="G17" s="31" t="str">
        <f t="shared" si="4"/>
        <v>49177.495</v>
      </c>
      <c r="H17" s="24">
        <f t="shared" si="5"/>
        <v>-1349</v>
      </c>
      <c r="I17" s="40" t="s">
        <v>84</v>
      </c>
      <c r="J17" s="41" t="s">
        <v>85</v>
      </c>
      <c r="K17" s="40">
        <v>-1349</v>
      </c>
      <c r="L17" s="40" t="s">
        <v>86</v>
      </c>
      <c r="M17" s="41" t="s">
        <v>62</v>
      </c>
      <c r="N17" s="41"/>
      <c r="O17" s="42" t="s">
        <v>63</v>
      </c>
      <c r="P17" s="42" t="s">
        <v>87</v>
      </c>
    </row>
    <row r="18" spans="1:16" ht="12.75" customHeight="1" thickBot="1">
      <c r="A18" s="24" t="str">
        <f t="shared" si="0"/>
        <v> BBS 108 </v>
      </c>
      <c r="B18" s="6" t="str">
        <f t="shared" si="1"/>
        <v>I</v>
      </c>
      <c r="C18" s="24">
        <f t="shared" si="2"/>
        <v>49633.32</v>
      </c>
      <c r="D18" s="31" t="str">
        <f t="shared" si="3"/>
        <v>vis</v>
      </c>
      <c r="E18" s="39">
        <f>VLOOKUP(C18,'Active 1'!C$21:E$973,3,FALSE)</f>
        <v>2711.9592287564765</v>
      </c>
      <c r="F18" s="6" t="s">
        <v>57</v>
      </c>
      <c r="G18" s="31" t="str">
        <f t="shared" si="4"/>
        <v>49633.320</v>
      </c>
      <c r="H18" s="24">
        <f t="shared" si="5"/>
        <v>-1164</v>
      </c>
      <c r="I18" s="40" t="s">
        <v>88</v>
      </c>
      <c r="J18" s="41" t="s">
        <v>89</v>
      </c>
      <c r="K18" s="40">
        <v>-1164</v>
      </c>
      <c r="L18" s="40" t="s">
        <v>90</v>
      </c>
      <c r="M18" s="41" t="s">
        <v>62</v>
      </c>
      <c r="N18" s="41"/>
      <c r="O18" s="42" t="s">
        <v>63</v>
      </c>
      <c r="P18" s="42" t="s">
        <v>91</v>
      </c>
    </row>
    <row r="19" spans="1:16" ht="12.75" customHeight="1" thickBot="1">
      <c r="A19" s="24" t="str">
        <f t="shared" si="0"/>
        <v> BBS 109 </v>
      </c>
      <c r="B19" s="6" t="str">
        <f t="shared" si="1"/>
        <v>I</v>
      </c>
      <c r="C19" s="24">
        <f t="shared" si="2"/>
        <v>49894.485999999997</v>
      </c>
      <c r="D19" s="31" t="str">
        <f t="shared" si="3"/>
        <v>vis</v>
      </c>
      <c r="E19" s="39">
        <f>VLOOKUP(C19,'Active 1'!C$21:E$973,3,FALSE)</f>
        <v>2817.9430026871923</v>
      </c>
      <c r="F19" s="6" t="s">
        <v>57</v>
      </c>
      <c r="G19" s="31" t="str">
        <f t="shared" si="4"/>
        <v>49894.486</v>
      </c>
      <c r="H19" s="24">
        <f t="shared" si="5"/>
        <v>-1058</v>
      </c>
      <c r="I19" s="40" t="s">
        <v>92</v>
      </c>
      <c r="J19" s="41" t="s">
        <v>93</v>
      </c>
      <c r="K19" s="40">
        <v>-1058</v>
      </c>
      <c r="L19" s="40" t="s">
        <v>94</v>
      </c>
      <c r="M19" s="41" t="s">
        <v>62</v>
      </c>
      <c r="N19" s="41"/>
      <c r="O19" s="42" t="s">
        <v>63</v>
      </c>
      <c r="P19" s="42" t="s">
        <v>95</v>
      </c>
    </row>
    <row r="20" spans="1:16" ht="12.75" customHeight="1" thickBot="1">
      <c r="A20" s="24" t="str">
        <f t="shared" si="0"/>
        <v> BBS 112 </v>
      </c>
      <c r="B20" s="6" t="str">
        <f t="shared" si="1"/>
        <v>I</v>
      </c>
      <c r="C20" s="24">
        <f t="shared" si="2"/>
        <v>50276.425000000003</v>
      </c>
      <c r="D20" s="31" t="str">
        <f t="shared" si="3"/>
        <v>vis</v>
      </c>
      <c r="E20" s="39">
        <f>VLOOKUP(C20,'Active 1'!C$21:E$973,3,FALSE)</f>
        <v>2972.9376675031517</v>
      </c>
      <c r="F20" s="6" t="s">
        <v>57</v>
      </c>
      <c r="G20" s="31" t="str">
        <f t="shared" si="4"/>
        <v>50276.425</v>
      </c>
      <c r="H20" s="24">
        <f t="shared" si="5"/>
        <v>-903</v>
      </c>
      <c r="I20" s="40" t="s">
        <v>96</v>
      </c>
      <c r="J20" s="41" t="s">
        <v>97</v>
      </c>
      <c r="K20" s="40">
        <v>-903</v>
      </c>
      <c r="L20" s="40" t="s">
        <v>98</v>
      </c>
      <c r="M20" s="41" t="s">
        <v>62</v>
      </c>
      <c r="N20" s="41"/>
      <c r="O20" s="42" t="s">
        <v>63</v>
      </c>
      <c r="P20" s="42" t="s">
        <v>99</v>
      </c>
    </row>
    <row r="21" spans="1:16" ht="12.75" customHeight="1" thickBot="1">
      <c r="A21" s="24" t="str">
        <f t="shared" si="0"/>
        <v>IBVS 4887 </v>
      </c>
      <c r="B21" s="6" t="str">
        <f t="shared" si="1"/>
        <v>I</v>
      </c>
      <c r="C21" s="24">
        <f t="shared" si="2"/>
        <v>50658.374199999998</v>
      </c>
      <c r="D21" s="31" t="str">
        <f t="shared" si="3"/>
        <v>vis</v>
      </c>
      <c r="E21" s="39">
        <f>VLOOKUP(C21,'Active 1'!C$21:E$973,3,FALSE)</f>
        <v>3127.9364715810857</v>
      </c>
      <c r="F21" s="6" t="s">
        <v>57</v>
      </c>
      <c r="G21" s="31" t="str">
        <f t="shared" si="4"/>
        <v>50658.3742</v>
      </c>
      <c r="H21" s="24">
        <f t="shared" si="5"/>
        <v>-748</v>
      </c>
      <c r="I21" s="40" t="s">
        <v>100</v>
      </c>
      <c r="J21" s="41" t="s">
        <v>101</v>
      </c>
      <c r="K21" s="40">
        <v>-748</v>
      </c>
      <c r="L21" s="40" t="s">
        <v>102</v>
      </c>
      <c r="M21" s="41" t="s">
        <v>103</v>
      </c>
      <c r="N21" s="41" t="s">
        <v>104</v>
      </c>
      <c r="O21" s="42" t="s">
        <v>105</v>
      </c>
      <c r="P21" s="43" t="s">
        <v>106</v>
      </c>
    </row>
    <row r="22" spans="1:16" ht="12.75" customHeight="1" thickBot="1">
      <c r="A22" s="24" t="str">
        <f t="shared" si="0"/>
        <v>IBVS 4888 </v>
      </c>
      <c r="B22" s="6" t="str">
        <f t="shared" si="1"/>
        <v>I</v>
      </c>
      <c r="C22" s="24">
        <f t="shared" si="2"/>
        <v>50961.456700000002</v>
      </c>
      <c r="D22" s="31" t="str">
        <f t="shared" si="3"/>
        <v>vis</v>
      </c>
      <c r="E22" s="39">
        <f>VLOOKUP(C22,'Active 1'!C$21:E$973,3,FALSE)</f>
        <v>3250.9303802918557</v>
      </c>
      <c r="F22" s="6" t="s">
        <v>57</v>
      </c>
      <c r="G22" s="31" t="str">
        <f t="shared" si="4"/>
        <v>50961.4567</v>
      </c>
      <c r="H22" s="24">
        <f t="shared" si="5"/>
        <v>-625</v>
      </c>
      <c r="I22" s="40" t="s">
        <v>107</v>
      </c>
      <c r="J22" s="41" t="s">
        <v>108</v>
      </c>
      <c r="K22" s="40">
        <v>-625</v>
      </c>
      <c r="L22" s="40" t="s">
        <v>109</v>
      </c>
      <c r="M22" s="41" t="s">
        <v>103</v>
      </c>
      <c r="N22" s="41" t="s">
        <v>104</v>
      </c>
      <c r="O22" s="42" t="s">
        <v>105</v>
      </c>
      <c r="P22" s="43" t="s">
        <v>110</v>
      </c>
    </row>
    <row r="23" spans="1:16" ht="12.75" customHeight="1" thickBot="1">
      <c r="A23" s="24" t="str">
        <f t="shared" si="0"/>
        <v>IBVS 5263 </v>
      </c>
      <c r="B23" s="6" t="str">
        <f t="shared" si="1"/>
        <v>I</v>
      </c>
      <c r="C23" s="24">
        <f t="shared" si="2"/>
        <v>51375.432200000003</v>
      </c>
      <c r="D23" s="31" t="str">
        <f t="shared" si="3"/>
        <v>vis</v>
      </c>
      <c r="E23" s="39">
        <f>VLOOKUP(C23,'Active 1'!C$21:E$973,3,FALSE)</f>
        <v>3418.9257771078869</v>
      </c>
      <c r="F23" s="6" t="s">
        <v>57</v>
      </c>
      <c r="G23" s="31" t="str">
        <f t="shared" si="4"/>
        <v>51375.4322</v>
      </c>
      <c r="H23" s="24">
        <f t="shared" si="5"/>
        <v>-457</v>
      </c>
      <c r="I23" s="40" t="s">
        <v>111</v>
      </c>
      <c r="J23" s="41" t="s">
        <v>112</v>
      </c>
      <c r="K23" s="40">
        <v>-457</v>
      </c>
      <c r="L23" s="40" t="s">
        <v>113</v>
      </c>
      <c r="M23" s="41" t="s">
        <v>103</v>
      </c>
      <c r="N23" s="41" t="s">
        <v>104</v>
      </c>
      <c r="O23" s="42" t="s">
        <v>105</v>
      </c>
      <c r="P23" s="43" t="s">
        <v>114</v>
      </c>
    </row>
    <row r="24" spans="1:16" ht="12.75" customHeight="1" thickBot="1">
      <c r="A24" s="24" t="str">
        <f t="shared" si="0"/>
        <v>IBVS 5263 </v>
      </c>
      <c r="B24" s="6" t="str">
        <f t="shared" si="1"/>
        <v>I</v>
      </c>
      <c r="C24" s="24">
        <f t="shared" si="2"/>
        <v>51449.355799999998</v>
      </c>
      <c r="D24" s="31" t="str">
        <f t="shared" si="3"/>
        <v>vis</v>
      </c>
      <c r="E24" s="39">
        <f>VLOOKUP(C24,'Active 1'!C$21:E$973,3,FALSE)</f>
        <v>3448.92471307407</v>
      </c>
      <c r="F24" s="6" t="s">
        <v>57</v>
      </c>
      <c r="G24" s="31" t="str">
        <f t="shared" si="4"/>
        <v>51449.3558</v>
      </c>
      <c r="H24" s="24">
        <f t="shared" si="5"/>
        <v>-427</v>
      </c>
      <c r="I24" s="40" t="s">
        <v>115</v>
      </c>
      <c r="J24" s="41" t="s">
        <v>116</v>
      </c>
      <c r="K24" s="40">
        <v>-427</v>
      </c>
      <c r="L24" s="40" t="s">
        <v>117</v>
      </c>
      <c r="M24" s="41" t="s">
        <v>103</v>
      </c>
      <c r="N24" s="41" t="s">
        <v>104</v>
      </c>
      <c r="O24" s="42" t="s">
        <v>105</v>
      </c>
      <c r="P24" s="43" t="s">
        <v>114</v>
      </c>
    </row>
    <row r="25" spans="1:16" ht="12.75" customHeight="1" thickBot="1">
      <c r="A25" s="24" t="str">
        <f t="shared" si="0"/>
        <v>IBVS 5583 </v>
      </c>
      <c r="B25" s="6" t="str">
        <f t="shared" si="1"/>
        <v>I</v>
      </c>
      <c r="C25" s="24">
        <f t="shared" si="2"/>
        <v>52437.457600000002</v>
      </c>
      <c r="D25" s="31" t="str">
        <f t="shared" si="3"/>
        <v>vis</v>
      </c>
      <c r="E25" s="39">
        <f>VLOOKUP(C25,'Active 1'!C$21:E$973,3,FALSE)</f>
        <v>3849.9063025295695</v>
      </c>
      <c r="F25" s="6" t="s">
        <v>57</v>
      </c>
      <c r="G25" s="31" t="str">
        <f t="shared" si="4"/>
        <v>52437.4576</v>
      </c>
      <c r="H25" s="24">
        <f t="shared" si="5"/>
        <v>-26</v>
      </c>
      <c r="I25" s="40" t="s">
        <v>118</v>
      </c>
      <c r="J25" s="41" t="s">
        <v>119</v>
      </c>
      <c r="K25" s="40">
        <v>-26</v>
      </c>
      <c r="L25" s="40" t="s">
        <v>120</v>
      </c>
      <c r="M25" s="41" t="s">
        <v>103</v>
      </c>
      <c r="N25" s="41" t="s">
        <v>104</v>
      </c>
      <c r="O25" s="42" t="s">
        <v>121</v>
      </c>
      <c r="P25" s="43" t="s">
        <v>122</v>
      </c>
    </row>
    <row r="26" spans="1:16" ht="12.75" customHeight="1" thickBot="1">
      <c r="A26" s="24" t="str">
        <f t="shared" si="0"/>
        <v> BBS 129 </v>
      </c>
      <c r="B26" s="6" t="str">
        <f t="shared" si="1"/>
        <v>I</v>
      </c>
      <c r="C26" s="24">
        <f t="shared" si="2"/>
        <v>52548.342199999999</v>
      </c>
      <c r="D26" s="31" t="str">
        <f t="shared" si="3"/>
        <v>vis</v>
      </c>
      <c r="E26" s="39">
        <f>VLOOKUP(C26,'Active 1'!C$21:E$973,3,FALSE)</f>
        <v>3894.9043818308483</v>
      </c>
      <c r="F26" s="6" t="s">
        <v>57</v>
      </c>
      <c r="G26" s="31" t="str">
        <f t="shared" si="4"/>
        <v>52548.3422</v>
      </c>
      <c r="H26" s="24">
        <f t="shared" si="5"/>
        <v>19</v>
      </c>
      <c r="I26" s="40" t="s">
        <v>123</v>
      </c>
      <c r="J26" s="41" t="s">
        <v>124</v>
      </c>
      <c r="K26" s="40">
        <v>19</v>
      </c>
      <c r="L26" s="40" t="s">
        <v>125</v>
      </c>
      <c r="M26" s="41" t="s">
        <v>103</v>
      </c>
      <c r="N26" s="41" t="s">
        <v>104</v>
      </c>
      <c r="O26" s="42" t="s">
        <v>126</v>
      </c>
      <c r="P26" s="42" t="s">
        <v>127</v>
      </c>
    </row>
    <row r="27" spans="1:16" ht="12.75" customHeight="1" thickBot="1">
      <c r="A27" s="24" t="str">
        <f t="shared" si="0"/>
        <v>BAVM 225 </v>
      </c>
      <c r="B27" s="6" t="str">
        <f t="shared" si="1"/>
        <v>I</v>
      </c>
      <c r="C27" s="24">
        <f t="shared" si="2"/>
        <v>55825.553999999996</v>
      </c>
      <c r="D27" s="31" t="str">
        <f t="shared" si="3"/>
        <v>vis</v>
      </c>
      <c r="E27" s="39">
        <f>VLOOKUP(C27,'Active 1'!C$21:E$973,3,FALSE)</f>
        <v>5224.8296957472003</v>
      </c>
      <c r="F27" s="6" t="s">
        <v>57</v>
      </c>
      <c r="G27" s="31" t="str">
        <f t="shared" si="4"/>
        <v>55825.5540</v>
      </c>
      <c r="H27" s="24">
        <f t="shared" si="5"/>
        <v>1349</v>
      </c>
      <c r="I27" s="40" t="s">
        <v>128</v>
      </c>
      <c r="J27" s="41" t="s">
        <v>129</v>
      </c>
      <c r="K27" s="40">
        <v>1349</v>
      </c>
      <c r="L27" s="40" t="s">
        <v>130</v>
      </c>
      <c r="M27" s="41" t="s">
        <v>131</v>
      </c>
      <c r="N27" s="41" t="s">
        <v>132</v>
      </c>
      <c r="O27" s="42" t="s">
        <v>133</v>
      </c>
      <c r="P27" s="43" t="s">
        <v>134</v>
      </c>
    </row>
    <row r="28" spans="1:16">
      <c r="B28" s="6"/>
      <c r="F28" s="6"/>
    </row>
    <row r="29" spans="1:16">
      <c r="B29" s="6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</sheetData>
  <phoneticPr fontId="7" type="noConversion"/>
  <hyperlinks>
    <hyperlink ref="P21" r:id="rId1" display="http://www.konkoly.hu/cgi-bin/IBVS?4887"/>
    <hyperlink ref="P22" r:id="rId2" display="http://www.konkoly.hu/cgi-bin/IBVS?4888"/>
    <hyperlink ref="P23" r:id="rId3" display="http://www.konkoly.hu/cgi-bin/IBVS?5263"/>
    <hyperlink ref="P24" r:id="rId4" display="http://www.konkoly.hu/cgi-bin/IBVS?5263"/>
    <hyperlink ref="P25" r:id="rId5" display="http://www.konkoly.hu/cgi-bin/IBVS?5583"/>
    <hyperlink ref="P27" r:id="rId6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2024-02-04T05:17:24Z</dcterms:modified>
</cp:coreProperties>
</file>