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B40E083-F3BD-4986-97D0-0FA729093A5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2" i="1"/>
  <c r="F22" i="1"/>
  <c r="C7" i="1"/>
  <c r="G22" i="1"/>
  <c r="K22" i="1"/>
  <c r="D9" i="1"/>
  <c r="E9" i="1"/>
  <c r="D8" i="1"/>
  <c r="F16" i="1"/>
  <c r="C17" i="1"/>
  <c r="Q21" i="1"/>
  <c r="E21" i="1"/>
  <c r="F21" i="1"/>
  <c r="G21" i="1"/>
  <c r="I21" i="1"/>
  <c r="C12" i="1"/>
  <c r="C11" i="1"/>
  <c r="O21" i="1" l="1"/>
  <c r="O22" i="1"/>
  <c r="C15" i="1"/>
  <c r="F18" i="1" s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<sst xmlns="http://schemas.openxmlformats.org/spreadsheetml/2006/main" count="56" uniqueCount="51">
  <si>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</si>
  <si>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</si>
  <si>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</si>
  <si>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</si>
  <si>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</si>
  <si>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</si>
  <si>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</si>
  <si>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</si>
  <si>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</si>
  <si>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</si>
  <si>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</si>
  <si>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</si>
  <si>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</si>
  <si>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</si>
  <si>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</si>
  <si>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</si>
  <si>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</si>
  <si>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</si>
  <si>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</si>
  <si>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</si>
  <si>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</si>
  <si>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</si>
  <si>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</si>
  <si>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</si>
  <si>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</si>
  <si>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</si>
  <si>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</si>
  <si>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</si>
  <si>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</si>
  <si>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</si>
  <si>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</si>
  <si>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</si>
  <si>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</si>
  <si>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</si>
  <si>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</si>
  <si>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</si>
  <si>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</si>
  <si>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</si>
  <si>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</si>
  <si>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</si>
  <si>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</si>
  <si>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</si>
  <si>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</si>
  <si>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V2134 Cyg</t>
  </si>
  <si>
    <t>G3178-0162</t>
  </si>
  <si>
    <t>EB</t>
  </si>
  <si>
    <t>pr_6</t>
  </si>
  <si>
    <t>A3</t>
  </si>
  <si>
    <t>V2134 Cyg / GSC 3178-0162</t>
  </si>
  <si>
    <t>VSX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</si>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</sst>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4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5" fillId="0" borderId="5" xfId="0" applyFont="1" applyBorder="1">
      <alignment vertical="top"/>
    </xf>
    <xf numFmtId="0" fontId="15" fillId="24" borderId="5" xfId="0" applyFont="1" applyFill="1" applyBorder="1" applyAlignment="1">
      <alignment horizontal="left"/>
    </xf>
    <xf numFmtId="0" fontId="5" fillId="0" borderId="5" xfId="0" applyNumberFormat="1" applyFon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5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0" borderId="5" xfId="0" applyBorder="1" applyAlignment="1">
      <alignment horizontal="left"/>
    </xf>
    <xf numFmtId="0" fontId="0" fillId="25" borderId="5" xfId="0" applyFill="1" applyBorder="1">
      <alignment vertical="top"/>
    </xf>
    <xf numFmtId="0" fontId="17" fillId="0" borderId="0" xfId="41" applyFont="1"/>
    <xf numFmtId="0" fontId="17" fillId="0" borderId="0" xfId="41" applyFont="1" applyAlignment="1">
      <alignment horizontal="center"/>
    </xf>
    <xf numFmtId="0" fontId="17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V2134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7B-4F3D-8899-0A74AC46EBC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7B-4F3D-8899-0A74AC46EBC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7B-4F3D-8899-0A74AC46EBC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1.6750000002502929E-2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7B-4F3D-8899-0A74AC46EBC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7B-4F3D-8899-0A74AC46EBC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7B-4F3D-8899-0A74AC46EBC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37B-4F3D-8899-0A74AC46EBC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1.6750000002502929E-2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7B-4F3D-8899-0A74AC46EBC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37B-4F3D-8899-0A74AC46E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118160"/>
        <c:axId val="1"/>
      </c:scatterChart>
      <c:valAx>
        <c:axId val="685118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118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4F56E73-DFD3-36BD-8E91-CB414E745D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48</v>
      </c>
      <c r="F1" s="33" t="s">
        <v>43</v>
      </c>
      <c r="G1" s="34">
        <v>2013</v>
      </c>
      <c r="H1" s="35"/>
      <c r="I1" s="36" t="s">
        <v>44</v>
      </c>
      <c r="J1" s="37" t="s">
        <v>43</v>
      </c>
      <c r="K1" s="38">
        <v>20.474329999999998</v>
      </c>
      <c r="L1" s="39">
        <v>43.161200000000001</v>
      </c>
      <c r="M1" s="40">
        <v>48500.794999999998</v>
      </c>
      <c r="N1" s="40">
        <v>1.4292100000000001</v>
      </c>
      <c r="O1" s="41" t="s">
        <v>45</v>
      </c>
      <c r="P1" s="42">
        <v>8.32</v>
      </c>
      <c r="Q1" s="42">
        <v>8.49</v>
      </c>
      <c r="R1" s="43" t="s">
        <v>46</v>
      </c>
      <c r="S1" s="41" t="s">
        <v>47</v>
      </c>
    </row>
    <row r="2" spans="1:19" x14ac:dyDescent="0.2">
      <c r="A2" t="s">
        <v>24</v>
      </c>
      <c r="B2" t="s">
        <v>45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1</v>
      </c>
      <c r="C4" s="27" t="s">
        <v>38</v>
      </c>
      <c r="D4" s="28" t="s">
        <v>38</v>
      </c>
    </row>
    <row r="5" spans="1:19" ht="13.5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19" x14ac:dyDescent="0.2">
      <c r="A6" s="5" t="s">
        <v>2</v>
      </c>
    </row>
    <row r="7" spans="1:19" x14ac:dyDescent="0.2">
      <c r="A7" t="s">
        <v>3</v>
      </c>
      <c r="C7" s="47">
        <f>M1</f>
        <v>48500.794999999998</v>
      </c>
      <c r="D7" s="41" t="s">
        <v>49</v>
      </c>
    </row>
    <row r="8" spans="1:19" x14ac:dyDescent="0.2">
      <c r="A8" t="s">
        <v>4</v>
      </c>
      <c r="C8" s="47">
        <f>N1</f>
        <v>1.4292100000000001</v>
      </c>
      <c r="D8" s="29" t="str">
        <f>D7</f>
        <v>VSX</v>
      </c>
    </row>
    <row r="9" spans="1:19" x14ac:dyDescent="0.2">
      <c r="A9" s="24" t="s">
        <v>33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19" x14ac:dyDescent="0.2">
      <c r="A11" s="10" t="s">
        <v>16</v>
      </c>
      <c r="B11" s="10"/>
      <c r="C11" s="21">
        <f ca="1">INTERCEPT(INDIRECT($E$9):G992,INDIRECT($D$9):F992)</f>
        <v>0</v>
      </c>
      <c r="D11" s="3"/>
      <c r="E11" s="10"/>
    </row>
    <row r="12" spans="1:19" x14ac:dyDescent="0.2">
      <c r="A12" s="10" t="s">
        <v>17</v>
      </c>
      <c r="B12" s="10"/>
      <c r="C12" s="21">
        <f ca="1">SLOPE(INDIRECT($E$9):G992,INDIRECT($D$9):F992)</f>
        <v>2.7708850293635946E-6</v>
      </c>
      <c r="D12" s="3"/>
      <c r="E12" s="10"/>
    </row>
    <row r="13" spans="1:19" x14ac:dyDescent="0.2">
      <c r="A13" s="10" t="s">
        <v>19</v>
      </c>
      <c r="B13" s="10"/>
      <c r="C13" s="3" t="s">
        <v>14</v>
      </c>
    </row>
    <row r="14" spans="1:19" x14ac:dyDescent="0.2">
      <c r="A14" s="10"/>
      <c r="B14" s="10"/>
      <c r="C14" s="10"/>
    </row>
    <row r="15" spans="1:19" x14ac:dyDescent="0.2">
      <c r="A15" s="12" t="s">
        <v>18</v>
      </c>
      <c r="B15" s="10"/>
      <c r="C15" s="13">
        <f ca="1">(C7+C11)+(C8+C12)*INT(MAX(F21:F3533))</f>
        <v>57140.386200000001</v>
      </c>
      <c r="E15" s="14" t="s">
        <v>35</v>
      </c>
      <c r="F15" s="31">
        <v>1</v>
      </c>
    </row>
    <row r="16" spans="1:19" x14ac:dyDescent="0.2">
      <c r="A16" s="16" t="s">
        <v>5</v>
      </c>
      <c r="B16" s="10"/>
      <c r="C16" s="17">
        <f ca="1">+C8+C12</f>
        <v>1.4292127708850295</v>
      </c>
      <c r="E16" s="14" t="s">
        <v>31</v>
      </c>
      <c r="F16" s="32">
        <f ca="1">NOW()+15018.5+$C$5/24</f>
        <v>60346.669754861112</v>
      </c>
    </row>
    <row r="17" spans="1:21" ht="13.5" thickBot="1" x14ac:dyDescent="0.25">
      <c r="A17" s="14" t="s">
        <v>28</v>
      </c>
      <c r="B17" s="10"/>
      <c r="C17" s="10">
        <f>COUNT(C21:C2191)</f>
        <v>2</v>
      </c>
      <c r="E17" s="14" t="s">
        <v>36</v>
      </c>
      <c r="F17" s="15">
        <f ca="1">ROUND(2*(F16-$C$7)/$C$8,0)/2+F15</f>
        <v>8289.5</v>
      </c>
    </row>
    <row r="18" spans="1:21" ht="14.25" thickTop="1" thickBot="1" x14ac:dyDescent="0.25">
      <c r="A18" s="16" t="s">
        <v>6</v>
      </c>
      <c r="B18" s="10"/>
      <c r="C18" s="19">
        <f ca="1">+C15</f>
        <v>57140.386200000001</v>
      </c>
      <c r="D18" s="20">
        <f ca="1">+C16</f>
        <v>1.4292127708850295</v>
      </c>
      <c r="E18" s="14" t="s">
        <v>37</v>
      </c>
      <c r="F18" s="23">
        <f ca="1">ROUND(2*(F16-$C$15)/$C$16,0)/2+F15</f>
        <v>2244.5</v>
      </c>
    </row>
    <row r="19" spans="1:21" ht="13.5" thickTop="1" x14ac:dyDescent="0.2">
      <c r="E19" s="14" t="s">
        <v>32</v>
      </c>
      <c r="F19" s="18">
        <f ca="1">+$C$15+$C$16*F18-15018.5-$C$5/24</f>
        <v>45330.150097584788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6" t="s">
        <v>34</v>
      </c>
    </row>
    <row r="21" spans="1:21" x14ac:dyDescent="0.2">
      <c r="A21" t="s">
        <v>49</v>
      </c>
      <c r="C21" s="8">
        <v>48500.794999999998</v>
      </c>
      <c r="D21" s="8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33482.294999999998</v>
      </c>
    </row>
    <row r="22" spans="1:21" x14ac:dyDescent="0.2">
      <c r="A22" s="44" t="s">
        <v>50</v>
      </c>
      <c r="B22" s="45" t="s">
        <v>0</v>
      </c>
      <c r="C22" s="46">
        <v>57140.386200000001</v>
      </c>
      <c r="D22" s="46">
        <v>2.9999999999999997E-4</v>
      </c>
      <c r="E22">
        <f>+(C22-C$7)/C$8</f>
        <v>6045.0117197612681</v>
      </c>
      <c r="F22">
        <f>ROUND(2*E22,0)/2</f>
        <v>6045</v>
      </c>
      <c r="G22">
        <f>+C22-(C$7+F22*C$8)</f>
        <v>1.6750000002502929E-2</v>
      </c>
      <c r="K22">
        <f>+G22</f>
        <v>1.6750000002502929E-2</v>
      </c>
      <c r="O22">
        <f ca="1">+C$11+C$12*$F22</f>
        <v>1.6750000002502929E-2</v>
      </c>
      <c r="Q22" s="2">
        <f>+C22-15018.5</f>
        <v>42121.886200000001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881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2024-02-06T03:04:26Z</dcterms:modified>
</cp:coreProperties>
</file>