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3220F6-ACC8-4626-B437-CEE1D7DB5B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1" i="1" l="1"/>
  <c r="Q55" i="1"/>
  <c r="Q57" i="1"/>
  <c r="Q58" i="1"/>
  <c r="Q56" i="1"/>
  <c r="Q60" i="1"/>
  <c r="Q59" i="1"/>
  <c r="Q48" i="1"/>
  <c r="D9" i="1"/>
  <c r="C9" i="1"/>
  <c r="Q47" i="1"/>
  <c r="Q46" i="1"/>
  <c r="Q45" i="1"/>
  <c r="Q44" i="1"/>
  <c r="Q43" i="1"/>
  <c r="Q42" i="1"/>
  <c r="G30" i="2"/>
  <c r="C30" i="2"/>
  <c r="G29" i="2"/>
  <c r="C29" i="2"/>
  <c r="G28" i="2"/>
  <c r="C28" i="2"/>
  <c r="G27" i="2"/>
  <c r="C27" i="2"/>
  <c r="G26" i="2"/>
  <c r="C26" i="2"/>
  <c r="G25" i="2"/>
  <c r="C25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4" i="1"/>
  <c r="Q41" i="1"/>
  <c r="F16" i="1"/>
  <c r="F17" i="1" s="1"/>
  <c r="C17" i="1"/>
  <c r="Q49" i="1"/>
  <c r="Q50" i="1"/>
  <c r="Q51" i="1"/>
  <c r="Q52" i="1"/>
  <c r="Q53" i="1"/>
  <c r="Q40" i="1"/>
  <c r="Q38" i="1"/>
  <c r="Q37" i="1"/>
  <c r="Q39" i="1"/>
  <c r="Q22" i="1"/>
  <c r="Q26" i="1"/>
  <c r="Q28" i="1"/>
  <c r="Q31" i="1"/>
  <c r="Q23" i="1"/>
  <c r="Q24" i="1"/>
  <c r="Q25" i="1"/>
  <c r="Q27" i="1"/>
  <c r="Q29" i="1"/>
  <c r="Q30" i="1"/>
  <c r="Q32" i="1"/>
  <c r="Q33" i="1"/>
  <c r="Q34" i="1"/>
  <c r="Q35" i="1"/>
  <c r="Q36" i="1"/>
  <c r="C7" i="1"/>
  <c r="E61" i="1"/>
  <c r="F61" i="1"/>
  <c r="C8" i="1"/>
  <c r="Q21" i="1"/>
  <c r="E16" i="2"/>
  <c r="E32" i="2"/>
  <c r="E34" i="2"/>
  <c r="E12" i="2"/>
  <c r="E23" i="2"/>
  <c r="E24" i="2"/>
  <c r="E28" i="2"/>
  <c r="E29" i="2"/>
  <c r="E37" i="2"/>
  <c r="E30" i="2"/>
  <c r="E34" i="1"/>
  <c r="F34" i="1"/>
  <c r="G34" i="1"/>
  <c r="J34" i="1"/>
  <c r="E26" i="1"/>
  <c r="F26" i="1"/>
  <c r="E48" i="1"/>
  <c r="F48" i="1"/>
  <c r="E40" i="1"/>
  <c r="F40" i="1"/>
  <c r="G60" i="1"/>
  <c r="K60" i="1"/>
  <c r="E58" i="1"/>
  <c r="F58" i="1"/>
  <c r="G58" i="1"/>
  <c r="K58" i="1"/>
  <c r="E33" i="1"/>
  <c r="F33" i="1"/>
  <c r="E25" i="1"/>
  <c r="F25" i="1"/>
  <c r="E53" i="1"/>
  <c r="F53" i="1"/>
  <c r="E45" i="1"/>
  <c r="F45" i="1"/>
  <c r="G39" i="1"/>
  <c r="K39" i="1"/>
  <c r="E32" i="1"/>
  <c r="F32" i="1"/>
  <c r="E24" i="1"/>
  <c r="F24" i="1"/>
  <c r="G24" i="1"/>
  <c r="J24" i="1"/>
  <c r="G52" i="1"/>
  <c r="J52" i="1"/>
  <c r="E50" i="1"/>
  <c r="F50" i="1"/>
  <c r="G50" i="1"/>
  <c r="J50" i="1"/>
  <c r="G44" i="1"/>
  <c r="J44" i="1"/>
  <c r="E42" i="1"/>
  <c r="E60" i="1"/>
  <c r="F60" i="1"/>
  <c r="E39" i="1"/>
  <c r="F39" i="1"/>
  <c r="E31" i="1"/>
  <c r="E23" i="1"/>
  <c r="F23" i="1"/>
  <c r="G23" i="1"/>
  <c r="K23" i="1"/>
  <c r="G49" i="1"/>
  <c r="J49" i="1"/>
  <c r="E47" i="1"/>
  <c r="F47" i="1"/>
  <c r="G47" i="1"/>
  <c r="J47" i="1"/>
  <c r="G38" i="1"/>
  <c r="J38" i="1"/>
  <c r="G26" i="1"/>
  <c r="J26" i="1"/>
  <c r="G22" i="1"/>
  <c r="G56" i="1"/>
  <c r="K56" i="1"/>
  <c r="E57" i="1"/>
  <c r="F57" i="1"/>
  <c r="U57" i="1"/>
  <c r="E38" i="1"/>
  <c r="F38" i="1"/>
  <c r="E30" i="1"/>
  <c r="F30" i="1"/>
  <c r="G30" i="1"/>
  <c r="J30" i="1"/>
  <c r="E22" i="1"/>
  <c r="F22" i="1"/>
  <c r="E52" i="1"/>
  <c r="F52" i="1"/>
  <c r="G46" i="1"/>
  <c r="J46" i="1"/>
  <c r="E44" i="1"/>
  <c r="F44" i="1"/>
  <c r="E37" i="1"/>
  <c r="F37" i="1"/>
  <c r="G37" i="1"/>
  <c r="J37" i="1"/>
  <c r="E29" i="1"/>
  <c r="F29" i="1"/>
  <c r="G21" i="1"/>
  <c r="J21" i="1"/>
  <c r="E49" i="1"/>
  <c r="F49" i="1"/>
  <c r="E41" i="1"/>
  <c r="F41" i="1"/>
  <c r="G41" i="1"/>
  <c r="K41" i="1"/>
  <c r="G33" i="1"/>
  <c r="J33" i="1"/>
  <c r="G29" i="1"/>
  <c r="K29" i="1"/>
  <c r="G25" i="1"/>
  <c r="J25" i="1"/>
  <c r="G59" i="1"/>
  <c r="K59" i="1"/>
  <c r="E56" i="1"/>
  <c r="F56" i="1"/>
  <c r="G61" i="1"/>
  <c r="K61" i="1"/>
  <c r="E36" i="1"/>
  <c r="F36" i="1"/>
  <c r="G36" i="1"/>
  <c r="J36" i="1"/>
  <c r="E28" i="1"/>
  <c r="F28" i="1"/>
  <c r="E54" i="1"/>
  <c r="F54" i="1"/>
  <c r="G54" i="1"/>
  <c r="K54" i="1"/>
  <c r="G48" i="1"/>
  <c r="J48" i="1"/>
  <c r="E46" i="1"/>
  <c r="F46" i="1"/>
  <c r="G40" i="1"/>
  <c r="K40" i="1"/>
  <c r="E35" i="1"/>
  <c r="F35" i="1"/>
  <c r="G35" i="1"/>
  <c r="J35" i="1"/>
  <c r="E27" i="1"/>
  <c r="F27" i="1"/>
  <c r="G27" i="1"/>
  <c r="K27" i="1"/>
  <c r="E21" i="1"/>
  <c r="F21" i="1"/>
  <c r="G53" i="1"/>
  <c r="J53" i="1"/>
  <c r="E51" i="1"/>
  <c r="F51" i="1"/>
  <c r="G51" i="1"/>
  <c r="J51" i="1"/>
  <c r="G45" i="1"/>
  <c r="J45" i="1"/>
  <c r="E43" i="1"/>
  <c r="F43" i="1"/>
  <c r="G43" i="1"/>
  <c r="J43" i="1"/>
  <c r="G32" i="1"/>
  <c r="K32" i="1"/>
  <c r="G28" i="1"/>
  <c r="J28" i="1"/>
  <c r="E59" i="1"/>
  <c r="F59" i="1"/>
  <c r="E55" i="1"/>
  <c r="F55" i="1"/>
  <c r="G55" i="1"/>
  <c r="K55" i="1"/>
  <c r="E36" i="2"/>
  <c r="F31" i="1"/>
  <c r="G31" i="1"/>
  <c r="E17" i="2"/>
  <c r="E20" i="2"/>
  <c r="E18" i="2"/>
  <c r="E15" i="2"/>
  <c r="E14" i="2"/>
  <c r="E33" i="2"/>
  <c r="J22" i="1"/>
  <c r="E19" i="2"/>
  <c r="E35" i="2"/>
  <c r="E11" i="2"/>
  <c r="E27" i="2"/>
  <c r="F42" i="1"/>
  <c r="G42" i="1"/>
  <c r="J42" i="1"/>
  <c r="E31" i="2"/>
  <c r="E21" i="2"/>
  <c r="E13" i="2"/>
  <c r="E25" i="2"/>
  <c r="E22" i="2"/>
  <c r="E26" i="2"/>
  <c r="J31" i="1"/>
  <c r="C12" i="1"/>
  <c r="C11" i="1"/>
  <c r="O31" i="1" l="1"/>
  <c r="O37" i="1"/>
  <c r="O21" i="1"/>
  <c r="O27" i="1"/>
  <c r="O32" i="1"/>
  <c r="O53" i="1"/>
  <c r="C15" i="1"/>
  <c r="O26" i="1"/>
  <c r="O25" i="1"/>
  <c r="O55" i="1"/>
  <c r="O35" i="1"/>
  <c r="O24" i="1"/>
  <c r="O45" i="1"/>
  <c r="O59" i="1"/>
  <c r="O58" i="1"/>
  <c r="O36" i="1"/>
  <c r="O56" i="1"/>
  <c r="O61" i="1"/>
  <c r="O60" i="1"/>
  <c r="O30" i="1"/>
  <c r="O41" i="1"/>
  <c r="O47" i="1"/>
  <c r="O44" i="1"/>
  <c r="O51" i="1"/>
  <c r="O43" i="1"/>
  <c r="O57" i="1"/>
  <c r="O42" i="1"/>
  <c r="O50" i="1"/>
  <c r="O23" i="1"/>
  <c r="O22" i="1"/>
  <c r="O46" i="1"/>
  <c r="O54" i="1"/>
  <c r="O28" i="1"/>
  <c r="O34" i="1"/>
  <c r="O33" i="1"/>
  <c r="O48" i="1"/>
  <c r="O39" i="1"/>
  <c r="O29" i="1"/>
  <c r="O38" i="1"/>
  <c r="O40" i="1"/>
  <c r="O49" i="1"/>
  <c r="O5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<sst xmlns="http://schemas.openxmlformats.org/spreadsheetml/2006/main" count="362" uniqueCount="178">
  <si>
    <t>IBVS 6191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</si>
  <si>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</si>
  <si>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</si>
  <si>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</si>
  <si>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</si>
  <si>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</si>
  <si>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</si>
  <si>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</si>
  <si>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</si>
  <si>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</si>
  <si>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</si>
  <si>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</si>
  <si>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</si>
  <si>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</si>
  <si>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</si>
  <si>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</si>
  <si>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</si>
  <si>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</si>
  <si>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</si>
  <si>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</si>
  <si>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</si>
  <si>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</si>
  <si>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</si>
  <si>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</si>
  <si>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</si>
  <si>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</si>
  <si>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</si>
  <si>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</si>
  <si>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</si>
  <si>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IBVS 5330 Eph.</t>
  </si>
  <si>
    <t>IBVS 5330</t>
  </si>
  <si>
    <t>II</t>
  </si>
  <si>
    <t>IBVS 5430</t>
  </si>
  <si>
    <t>IBVS 5623</t>
  </si>
  <si>
    <t>IBVS 5588</t>
  </si>
  <si>
    <t>EW:</t>
  </si>
  <si>
    <t>V2150 Cyg / GSC 2703-1256</t>
  </si>
  <si>
    <t>IBVS 5649</t>
  </si>
  <si>
    <t>IBVS 5677</t>
  </si>
  <si>
    <t>What a mess!!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</si>
  <si>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</si>
  <si>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</si>
  <si>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</si>
  <si>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</si>
  <si>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</si>
  <si>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</si>
  <si>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</si>
  <si>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</si>
  <si>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Start of linear fit &gt;&gt;&gt;&gt;&gt;&gt;&gt;&gt;&gt;&gt;&gt;&gt;&gt;&gt;&gt;&gt;&gt;&gt;&gt;&gt;&gt;</t>
  </si>
  <si>
    <t>IBVS 5887</t>
  </si>
  <si>
    <t>Add cycle</t>
  </si>
  <si>
    <t>Old Cycle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</si>
  <si>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</si>
  <si>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</si>
  <si>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</si>
  <si>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</si>
  <si>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</si>
  <si>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</si>
  <si>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</si>
  <si>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</si>
  <si>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</si>
  <si>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</si>
  <si>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</si>
  <si>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</si>
  <si>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2452130.6209 </t>
  </si>
  <si>
    <t> 09.08.2001 02:54 </t>
  </si>
  <si>
    <t> 0.0099 </t>
  </si>
  <si>
    <t>E </t>
  </si>
  <si>
    <t>G</t>
  </si>
  <si>
    <t> C.Yesilyaprak </t>
  </si>
  <si>
    <t>IBVS 5330 </t>
  </si>
  <si>
    <t>2452137.4133 </t>
  </si>
  <si>
    <t> 15.08.2001 21:55 </t>
  </si>
  <si>
    <t> -0.0041 </t>
  </si>
  <si>
    <t> M.Drozdz et al. </t>
  </si>
  <si>
    <t>IBVS 5623 </t>
  </si>
  <si>
    <t>2452139.4956 </t>
  </si>
  <si>
    <t> 17.08.2001 23:53 </t>
  </si>
  <si>
    <t> 0.0067 </t>
  </si>
  <si>
    <t>2452149.5576 </t>
  </si>
  <si>
    <t> 28.08.2001 01:22 </t>
  </si>
  <si>
    <t> 0.0072 </t>
  </si>
  <si>
    <t>2452171.4554 </t>
  </si>
  <si>
    <t> 18.09.2001 22:55 </t>
  </si>
  <si>
    <t> 0.0062 </t>
  </si>
  <si>
    <t>2452182.3866 </t>
  </si>
  <si>
    <t> 29.09.2001 21:16 </t>
  </si>
  <si>
    <t> -0.0119 </t>
  </si>
  <si>
    <t>2452187.4321 </t>
  </si>
  <si>
    <t> 04.10.2001 22:22 </t>
  </si>
  <si>
    <t> 0.0028 </t>
  </si>
  <si>
    <t>2452195.4146 </t>
  </si>
  <si>
    <t> 12.10.2001 21:57 </t>
  </si>
  <si>
    <t> -0.0048 </t>
  </si>
  <si>
    <t>2452477.4291 </t>
  </si>
  <si>
    <t> 21.07.2002 22:17 </t>
  </si>
  <si>
    <t> -0.0105 </t>
  </si>
  <si>
    <t>2452482.4624 </t>
  </si>
  <si>
    <t> 26.07.2002 23:05 </t>
  </si>
  <si>
    <t> -0.0079 </t>
  </si>
  <si>
    <t>2453229.4039 </t>
  </si>
  <si>
    <t> 11.08.2004 21:41 </t>
  </si>
  <si>
    <t> 0.0093 </t>
  </si>
  <si>
    <t>?</t>
  </si>
  <si>
    <t> O.Aksu et al. </t>
  </si>
  <si>
    <t>IBVS 5588 </t>
  </si>
  <si>
    <t>2453580.3590 </t>
  </si>
  <si>
    <t> 28.07.2005 20:36 </t>
  </si>
  <si>
    <t> -0.0072 </t>
  </si>
  <si>
    <t> B.Albayrak et al. </t>
  </si>
  <si>
    <t>IBVS 5649 </t>
  </si>
  <si>
    <t>2453600.4884 </t>
  </si>
  <si>
    <t> 17.08.2005 23:43 </t>
  </si>
  <si>
    <t> -0.0009 </t>
  </si>
  <si>
    <t>C </t>
  </si>
  <si>
    <t>o</t>
  </si>
  <si>
    <t> H.Jungbluth </t>
  </si>
  <si>
    <t>BAVM 178 </t>
  </si>
  <si>
    <t>2453628.6003 </t>
  </si>
  <si>
    <t> 15.09.2005 02:24 </t>
  </si>
  <si>
    <t> -0.0023 </t>
  </si>
  <si>
    <t> S.Dvorak </t>
  </si>
  <si>
    <t>IBVS 5677 </t>
  </si>
  <si>
    <t>2453994.6667 </t>
  </si>
  <si>
    <t> 16.09.2006 04:00 </t>
  </si>
  <si>
    <t> 0.0002 </t>
  </si>
  <si>
    <t> T.Krajci </t>
  </si>
  <si>
    <t>IBVS 5806 </t>
  </si>
  <si>
    <t>2454278.4673 </t>
  </si>
  <si>
    <t> 26.06.2007 23:12 </t>
  </si>
  <si>
    <t> 0.0051 </t>
  </si>
  <si>
    <t>m</t>
  </si>
  <si>
    <t> T.Kilicoglu et al. </t>
  </si>
  <si>
    <t>IBVS 5801 </t>
  </si>
  <si>
    <t>2454286.4548 </t>
  </si>
  <si>
    <t> 04.07.2007 22:54 </t>
  </si>
  <si>
    <t> 0.0025 </t>
  </si>
  <si>
    <t>2454310.4339 </t>
  </si>
  <si>
    <t> 28.07.2007 22:24 </t>
  </si>
  <si>
    <t> 0.0114 </t>
  </si>
  <si>
    <t>2454331.4269 </t>
  </si>
  <si>
    <t> 18.08.2007 22:14 </t>
  </si>
  <si>
    <t> -0.0066 </t>
  </si>
  <si>
    <t>2454344.4355 </t>
  </si>
  <si>
    <t> 31.08.2007 22:27 </t>
  </si>
  <si>
    <t> -0.0189 </t>
  </si>
  <si>
    <t>2454366.3528 </t>
  </si>
  <si>
    <t> 22.09.2007 20:28 </t>
  </si>
  <si>
    <t> -0.0003 </t>
  </si>
  <si>
    <t>2454414.2966 </t>
  </si>
  <si>
    <t> 09.11.2007 19:07 </t>
  </si>
  <si>
    <t> 0.0031 </t>
  </si>
  <si>
    <t>B;V</t>
  </si>
  <si>
    <t> Ö.Bastürk &amp; Z.Avci </t>
  </si>
  <si>
    <t>IBVS 5887 </t>
  </si>
  <si>
    <t>2454674.4056 </t>
  </si>
  <si>
    <t> 26.07.2008 21:44 </t>
  </si>
  <si>
    <t> -0.0094 </t>
  </si>
  <si>
    <t> L.Kalkan &amp; C.Kiliç </t>
  </si>
  <si>
    <t>2454679.4498 </t>
  </si>
  <si>
    <t> 31.07.2008 22:47 </t>
  </si>
  <si>
    <t> 0.0040 </t>
  </si>
  <si>
    <t> D.Sabuncu &amp; I.Türk </t>
  </si>
  <si>
    <t>2454693.3594 </t>
  </si>
  <si>
    <t> 14.08.2008 20:37 </t>
  </si>
  <si>
    <t> 0.0050 </t>
  </si>
  <si>
    <t> Ö.Bastürk &amp; T.Yilmaz </t>
  </si>
  <si>
    <t>2454759.3441 </t>
  </si>
  <si>
    <t> 19.10.2008 20:15 </t>
  </si>
  <si>
    <t> -0.0024 </t>
  </si>
  <si>
    <t> E.Çöl &amp; N.Deniz-Ulus </t>
  </si>
  <si>
    <t>2455800.43193 </t>
  </si>
  <si>
    <t> 26.08.2011 22:21 </t>
  </si>
  <si>
    <t> 0.00788 </t>
  </si>
  <si>
    <t> M.Mašek </t>
  </si>
  <si>
    <t>OEJV 0160 </t>
  </si>
  <si>
    <t>Period verified by TomCat 2010-01-02 -- there is no doubt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</si>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</sst>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trike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0" xfId="0" applyFont="1" applyAlignment="1">
      <alignment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7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11" xfId="0" applyFont="1" applyBorder="1" applyAlignment="1"/>
    <xf numFmtId="0" fontId="10" fillId="0" borderId="12" xfId="0" applyFont="1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8" fillId="0" borderId="8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V2150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48500.434000000001</c:v>
                  </c:pt>
                  <c:pt idx="1">
                    <c:v>52130.620900000002</c:v>
                  </c:pt>
                  <c:pt idx="2">
                    <c:v>52130.620900000002</c:v>
                  </c:pt>
                  <c:pt idx="3">
                    <c:v>52137.4133</c:v>
                  </c:pt>
                  <c:pt idx="4">
                    <c:v>52139.495600000002</c:v>
                  </c:pt>
                  <c:pt idx="5">
                    <c:v>52149.5576</c:v>
                  </c:pt>
                  <c:pt idx="6">
                    <c:v>52149.5576</c:v>
                  </c:pt>
                  <c:pt idx="7">
                    <c:v>52171.455399999999</c:v>
                  </c:pt>
                  <c:pt idx="8">
                    <c:v>52171.455399999999</c:v>
                  </c:pt>
                  <c:pt idx="9">
                    <c:v>52182.386599999998</c:v>
                  </c:pt>
                  <c:pt idx="10">
                    <c:v>52187.432099999998</c:v>
                  </c:pt>
                  <c:pt idx="11">
                    <c:v>52187.432099999998</c:v>
                  </c:pt>
                  <c:pt idx="12">
                    <c:v>52195.414599999996</c:v>
                  </c:pt>
                  <c:pt idx="13">
                    <c:v>52477.429100000001</c:v>
                  </c:pt>
                  <c:pt idx="14">
                    <c:v>52482.462399999997</c:v>
                  </c:pt>
                  <c:pt idx="15">
                    <c:v>53229.403899999998</c:v>
                  </c:pt>
                  <c:pt idx="16">
                    <c:v>53580.358999999997</c:v>
                  </c:pt>
                  <c:pt idx="17">
                    <c:v>53600.488400000002</c:v>
                  </c:pt>
                  <c:pt idx="18">
                    <c:v>53628.600299999998</c:v>
                  </c:pt>
                  <c:pt idx="19">
                    <c:v>53994.666699999943</c:v>
                  </c:pt>
                  <c:pt idx="20">
                    <c:v>53994.666699999943</c:v>
                  </c:pt>
                  <c:pt idx="21">
                    <c:v>53994.666700000002</c:v>
                  </c:pt>
                  <c:pt idx="22">
                    <c:v>54278.467299999997</c:v>
                  </c:pt>
                  <c:pt idx="23">
                    <c:v>54286.4548</c:v>
                  </c:pt>
                  <c:pt idx="24">
                    <c:v>54310.433900000004</c:v>
                  </c:pt>
                  <c:pt idx="25">
                    <c:v>54331.426899999999</c:v>
                  </c:pt>
                  <c:pt idx="26">
                    <c:v>54344.4355</c:v>
                  </c:pt>
                  <c:pt idx="27">
                    <c:v>54366.352800000001</c:v>
                  </c:pt>
                  <c:pt idx="28">
                    <c:v>54414.296600000001</c:v>
                  </c:pt>
                  <c:pt idx="29">
                    <c:v>54674.405599999998</c:v>
                  </c:pt>
                  <c:pt idx="30">
                    <c:v>54679.449800000002</c:v>
                  </c:pt>
                  <c:pt idx="31">
                    <c:v>54693.359400000001</c:v>
                  </c:pt>
                  <c:pt idx="32">
                    <c:v>54759.344100000002</c:v>
                  </c:pt>
                  <c:pt idx="33">
                    <c:v>55800.431929999999</c:v>
                  </c:pt>
                  <c:pt idx="34">
                    <c:v>56945.387199999997</c:v>
                  </c:pt>
                  <c:pt idx="35">
                    <c:v>56950.383000000002</c:v>
                  </c:pt>
                  <c:pt idx="36">
                    <c:v>57255.353799999997</c:v>
                  </c:pt>
                  <c:pt idx="37">
                    <c:v>57620.408499999998</c:v>
                  </c:pt>
                  <c:pt idx="38">
                    <c:v>57624.300499999998</c:v>
                  </c:pt>
                  <c:pt idx="39">
                    <c:v>57632.289100000002</c:v>
                  </c:pt>
                  <c:pt idx="40">
                    <c:v>58043.57918999996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48500.434000000001</c:v>
                  </c:pt>
                  <c:pt idx="1">
                    <c:v>52130.620900000002</c:v>
                  </c:pt>
                  <c:pt idx="2">
                    <c:v>52130.620900000002</c:v>
                  </c:pt>
                  <c:pt idx="3">
                    <c:v>52137.4133</c:v>
                  </c:pt>
                  <c:pt idx="4">
                    <c:v>52139.495600000002</c:v>
                  </c:pt>
                  <c:pt idx="5">
                    <c:v>52149.5576</c:v>
                  </c:pt>
                  <c:pt idx="6">
                    <c:v>52149.5576</c:v>
                  </c:pt>
                  <c:pt idx="7">
                    <c:v>52171.455399999999</c:v>
                  </c:pt>
                  <c:pt idx="8">
                    <c:v>52171.455399999999</c:v>
                  </c:pt>
                  <c:pt idx="9">
                    <c:v>52182.386599999998</c:v>
                  </c:pt>
                  <c:pt idx="10">
                    <c:v>52187.432099999998</c:v>
                  </c:pt>
                  <c:pt idx="11">
                    <c:v>52187.432099999998</c:v>
                  </c:pt>
                  <c:pt idx="12">
                    <c:v>52195.414599999996</c:v>
                  </c:pt>
                  <c:pt idx="13">
                    <c:v>52477.429100000001</c:v>
                  </c:pt>
                  <c:pt idx="14">
                    <c:v>52482.462399999997</c:v>
                  </c:pt>
                  <c:pt idx="15">
                    <c:v>53229.403899999998</c:v>
                  </c:pt>
                  <c:pt idx="16">
                    <c:v>53580.358999999997</c:v>
                  </c:pt>
                  <c:pt idx="17">
                    <c:v>53600.488400000002</c:v>
                  </c:pt>
                  <c:pt idx="18">
                    <c:v>53628.600299999998</c:v>
                  </c:pt>
                  <c:pt idx="19">
                    <c:v>53994.666699999943</c:v>
                  </c:pt>
                  <c:pt idx="20">
                    <c:v>53994.666699999943</c:v>
                  </c:pt>
                  <c:pt idx="21">
                    <c:v>53994.666700000002</c:v>
                  </c:pt>
                  <c:pt idx="22">
                    <c:v>54278.467299999997</c:v>
                  </c:pt>
                  <c:pt idx="23">
                    <c:v>54286.4548</c:v>
                  </c:pt>
                  <c:pt idx="24">
                    <c:v>54310.433900000004</c:v>
                  </c:pt>
                  <c:pt idx="25">
                    <c:v>54331.426899999999</c:v>
                  </c:pt>
                  <c:pt idx="26">
                    <c:v>54344.4355</c:v>
                  </c:pt>
                  <c:pt idx="27">
                    <c:v>54366.352800000001</c:v>
                  </c:pt>
                  <c:pt idx="28">
                    <c:v>54414.296600000001</c:v>
                  </c:pt>
                  <c:pt idx="29">
                    <c:v>54674.405599999998</c:v>
                  </c:pt>
                  <c:pt idx="30">
                    <c:v>54679.449800000002</c:v>
                  </c:pt>
                  <c:pt idx="31">
                    <c:v>54693.359400000001</c:v>
                  </c:pt>
                  <c:pt idx="32">
                    <c:v>54759.344100000002</c:v>
                  </c:pt>
                  <c:pt idx="33">
                    <c:v>55800.431929999999</c:v>
                  </c:pt>
                  <c:pt idx="34">
                    <c:v>56945.387199999997</c:v>
                  </c:pt>
                  <c:pt idx="35">
                    <c:v>56950.383000000002</c:v>
                  </c:pt>
                  <c:pt idx="36">
                    <c:v>57255.353799999997</c:v>
                  </c:pt>
                  <c:pt idx="37">
                    <c:v>57620.408499999998</c:v>
                  </c:pt>
                  <c:pt idx="38">
                    <c:v>57624.300499999998</c:v>
                  </c:pt>
                  <c:pt idx="39">
                    <c:v>57632.289100000002</c:v>
                  </c:pt>
                  <c:pt idx="40">
                    <c:v>58043.57918999996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F-41A1-BBA5-CF41218B24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9.4999999999999998E-3</c:v>
                  </c:pt>
                  <c:pt idx="18">
                    <c:v>2.9999999999999997E-4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8.0000000000000004E-4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5.9999999999999995E-4</c:v>
                  </c:pt>
                  <c:pt idx="40">
                    <c:v>8.0000000000000004E-4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9.4999999999999998E-3</c:v>
                  </c:pt>
                  <c:pt idx="18">
                    <c:v>2.9999999999999997E-4</c:v>
                  </c:pt>
                  <c:pt idx="19">
                    <c:v>8.0000000000000004E-4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8.0000000000000004E-4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5.9999999999999995E-4</c:v>
                  </c:pt>
                  <c:pt idx="4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6F-41A1-BBA5-CF41218B24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0">
                  <c:v>0</c:v>
                </c:pt>
                <c:pt idx="1">
                  <c:v>3.8123999998788349E-2</c:v>
                </c:pt>
                <c:pt idx="3">
                  <c:v>2.4180000000342261E-2</c:v>
                </c:pt>
                <c:pt idx="4">
                  <c:v>3.4983999998075888E-2</c:v>
                </c:pt>
                <c:pt idx="5">
                  <c:v>3.5431999996944796E-2</c:v>
                </c:pt>
                <c:pt idx="7">
                  <c:v>3.4560000000055879E-2</c:v>
                </c:pt>
                <c:pt idx="9">
                  <c:v>1.642399999400368E-2</c:v>
                </c:pt>
                <c:pt idx="10">
                  <c:v>3.1147999994573183E-2</c:v>
                </c:pt>
                <c:pt idx="12">
                  <c:v>2.3591999997734092E-2</c:v>
                </c:pt>
                <c:pt idx="13">
                  <c:v>1.8707999995967839E-2</c:v>
                </c:pt>
                <c:pt idx="14">
                  <c:v>2.1231999991869088E-2</c:v>
                </c:pt>
                <c:pt idx="15">
                  <c:v>4.0459999996528495E-2</c:v>
                </c:pt>
                <c:pt idx="16">
                  <c:v>2.4951999992481433E-2</c:v>
                </c:pt>
                <c:pt idx="17">
                  <c:v>3.1247999999322928E-2</c:v>
                </c:pt>
                <c:pt idx="21">
                  <c:v>3.3452000003308058E-2</c:v>
                </c:pt>
                <c:pt idx="22">
                  <c:v>3.9099999994505197E-2</c:v>
                </c:pt>
                <c:pt idx="23">
                  <c:v>3.6543999995046761E-2</c:v>
                </c:pt>
                <c:pt idx="24">
                  <c:v>4.5475999999325722E-2</c:v>
                </c:pt>
                <c:pt idx="25">
                  <c:v>2.7587999997194856E-2</c:v>
                </c:pt>
                <c:pt idx="26">
                  <c:v>1.5355999996245373E-2</c:v>
                </c:pt>
                <c:pt idx="27">
                  <c:v>3.398400000151014E-2</c:v>
                </c:pt>
                <c:pt idx="28">
                  <c:v>3.7448000002768822E-2</c:v>
                </c:pt>
                <c:pt idx="29">
                  <c:v>2.5735999995958991E-2</c:v>
                </c:pt>
                <c:pt idx="30">
                  <c:v>3.9160000000265427E-2</c:v>
                </c:pt>
                <c:pt idx="31">
                  <c:v>4.014399999869056E-2</c:v>
                </c:pt>
                <c:pt idx="32">
                  <c:v>3.2899999998335261E-2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6F-41A1-BBA5-CF41218B24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2">
                  <c:v>3.8123999998788349E-2</c:v>
                </c:pt>
                <c:pt idx="6">
                  <c:v>3.5431999996944796E-2</c:v>
                </c:pt>
                <c:pt idx="8">
                  <c:v>3.4560000000055879E-2</c:v>
                </c:pt>
                <c:pt idx="11">
                  <c:v>3.1147999994573183E-2</c:v>
                </c:pt>
                <c:pt idx="18">
                  <c:v>2.9987999994773418E-2</c:v>
                </c:pt>
                <c:pt idx="19">
                  <c:v>3.3451999945100397E-2</c:v>
                </c:pt>
                <c:pt idx="20">
                  <c:v>3.3451999945100397E-2</c:v>
                </c:pt>
                <c:pt idx="33">
                  <c:v>4.602599999634549E-2</c:v>
                </c:pt>
                <c:pt idx="34">
                  <c:v>5.5863999994471669E-2</c:v>
                </c:pt>
                <c:pt idx="35">
                  <c:v>2.0887999999104068E-2</c:v>
                </c:pt>
                <c:pt idx="37">
                  <c:v>6.5395999998145271E-2</c:v>
                </c:pt>
                <c:pt idx="38">
                  <c:v>0.11033199999656063</c:v>
                </c:pt>
                <c:pt idx="39">
                  <c:v>0.10887599999841768</c:v>
                </c:pt>
                <c:pt idx="40">
                  <c:v>5.9045999958470929E-2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6F-41A1-BBA5-CF41218B24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6F-41A1-BBA5-CF41218B24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6F-41A1-BBA5-CF41218B24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6F-41A1-BBA5-CF41218B24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-1.8248365788014198E-3</c:v>
                </c:pt>
                <c:pt idx="1">
                  <c:v>2.4423381630010857E-2</c:v>
                </c:pt>
                <c:pt idx="2">
                  <c:v>2.4423381630010857E-2</c:v>
                </c:pt>
                <c:pt idx="3">
                  <c:v>2.4472595701813475E-2</c:v>
                </c:pt>
                <c:pt idx="4">
                  <c:v>2.4487573897579488E-2</c:v>
                </c:pt>
                <c:pt idx="5">
                  <c:v>2.4560325134157266E-2</c:v>
                </c:pt>
                <c:pt idx="6">
                  <c:v>2.4560325134157266E-2</c:v>
                </c:pt>
                <c:pt idx="7">
                  <c:v>2.4718666060826549E-2</c:v>
                </c:pt>
                <c:pt idx="8">
                  <c:v>2.4718666060826549E-2</c:v>
                </c:pt>
                <c:pt idx="9">
                  <c:v>2.4797836524161194E-2</c:v>
                </c:pt>
                <c:pt idx="10">
                  <c:v>2.4834212142450081E-2</c:v>
                </c:pt>
                <c:pt idx="11">
                  <c:v>2.4834212142450081E-2</c:v>
                </c:pt>
                <c:pt idx="12">
                  <c:v>2.4891985183261849E-2</c:v>
                </c:pt>
                <c:pt idx="13">
                  <c:v>2.6931159549691955E-2</c:v>
                </c:pt>
                <c:pt idx="14">
                  <c:v>2.6967535167980842E-2</c:v>
                </c:pt>
                <c:pt idx="15">
                  <c:v>3.2368244612754803E-2</c:v>
                </c:pt>
                <c:pt idx="16">
                  <c:v>3.4905978923967927E-2</c:v>
                </c:pt>
                <c:pt idx="17">
                  <c:v>3.5051481397123482E-2</c:v>
                </c:pt>
                <c:pt idx="18">
                  <c:v>3.5254756911090812E-2</c:v>
                </c:pt>
                <c:pt idx="19">
                  <c:v>3.7901618077170601E-2</c:v>
                </c:pt>
                <c:pt idx="20">
                  <c:v>3.7901618077170601E-2</c:v>
                </c:pt>
                <c:pt idx="21">
                  <c:v>3.7901618077170601E-2</c:v>
                </c:pt>
                <c:pt idx="22">
                  <c:v>3.9953630897114428E-2</c:v>
                </c:pt>
                <c:pt idx="23">
                  <c:v>4.0011403937926196E-2</c:v>
                </c:pt>
                <c:pt idx="24">
                  <c:v>4.0184723060361492E-2</c:v>
                </c:pt>
                <c:pt idx="25">
                  <c:v>4.0336644760273918E-2</c:v>
                </c:pt>
                <c:pt idx="26">
                  <c:v>4.0430793419374569E-2</c:v>
                </c:pt>
                <c:pt idx="27">
                  <c:v>4.0589134346043852E-2</c:v>
                </c:pt>
                <c:pt idx="28">
                  <c:v>4.0935772590914452E-2</c:v>
                </c:pt>
                <c:pt idx="29">
                  <c:v>4.2816606030675268E-2</c:v>
                </c:pt>
                <c:pt idx="30">
                  <c:v>4.2852981648964159E-2</c:v>
                </c:pt>
                <c:pt idx="31">
                  <c:v>4.2953549534821681E-2</c:v>
                </c:pt>
                <c:pt idx="32">
                  <c:v>4.3430712057081822E-2</c:v>
                </c:pt>
                <c:pt idx="33">
                  <c:v>5.095832530062968E-2</c:v>
                </c:pt>
                <c:pt idx="34">
                  <c:v>5.9236988074730497E-2</c:v>
                </c:pt>
                <c:pt idx="35">
                  <c:v>5.9273363693019381E-2</c:v>
                </c:pt>
                <c:pt idx="36">
                  <c:v>6.1479437955127919E-2</c:v>
                </c:pt>
                <c:pt idx="37">
                  <c:v>6.4117740152198566E-2</c:v>
                </c:pt>
                <c:pt idx="38">
                  <c:v>6.4145556801478307E-2</c:v>
                </c:pt>
                <c:pt idx="39">
                  <c:v>6.4203329842290074E-2</c:v>
                </c:pt>
                <c:pt idx="40">
                  <c:v>6.7177571572969871E-2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6F-41A1-BBA5-CF41218B24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6133.5</c:v>
                </c:pt>
                <c:pt idx="2">
                  <c:v>6133.5</c:v>
                </c:pt>
                <c:pt idx="3">
                  <c:v>6145</c:v>
                </c:pt>
                <c:pt idx="4">
                  <c:v>6148.5</c:v>
                </c:pt>
                <c:pt idx="5">
                  <c:v>6165.5</c:v>
                </c:pt>
                <c:pt idx="6">
                  <c:v>6165.5</c:v>
                </c:pt>
                <c:pt idx="7">
                  <c:v>6202.5</c:v>
                </c:pt>
                <c:pt idx="8">
                  <c:v>6202.5</c:v>
                </c:pt>
                <c:pt idx="9">
                  <c:v>6221</c:v>
                </c:pt>
                <c:pt idx="10">
                  <c:v>6229.5</c:v>
                </c:pt>
                <c:pt idx="11">
                  <c:v>6229.5</c:v>
                </c:pt>
                <c:pt idx="12">
                  <c:v>6243</c:v>
                </c:pt>
                <c:pt idx="13">
                  <c:v>6719.5</c:v>
                </c:pt>
                <c:pt idx="14">
                  <c:v>6728</c:v>
                </c:pt>
                <c:pt idx="15">
                  <c:v>7990</c:v>
                </c:pt>
                <c:pt idx="16">
                  <c:v>8583</c:v>
                </c:pt>
                <c:pt idx="17">
                  <c:v>8617</c:v>
                </c:pt>
                <c:pt idx="18">
                  <c:v>8664.5</c:v>
                </c:pt>
                <c:pt idx="19">
                  <c:v>9283</c:v>
                </c:pt>
                <c:pt idx="20">
                  <c:v>9283</c:v>
                </c:pt>
                <c:pt idx="21">
                  <c:v>9283</c:v>
                </c:pt>
                <c:pt idx="22">
                  <c:v>9762.5</c:v>
                </c:pt>
                <c:pt idx="23">
                  <c:v>9776</c:v>
                </c:pt>
                <c:pt idx="24">
                  <c:v>9816.5</c:v>
                </c:pt>
                <c:pt idx="25">
                  <c:v>9852</c:v>
                </c:pt>
                <c:pt idx="26">
                  <c:v>9874</c:v>
                </c:pt>
                <c:pt idx="27">
                  <c:v>9911</c:v>
                </c:pt>
                <c:pt idx="28">
                  <c:v>9992</c:v>
                </c:pt>
                <c:pt idx="29">
                  <c:v>10431.5</c:v>
                </c:pt>
                <c:pt idx="30">
                  <c:v>10440</c:v>
                </c:pt>
                <c:pt idx="31">
                  <c:v>10463.5</c:v>
                </c:pt>
                <c:pt idx="32">
                  <c:v>10575</c:v>
                </c:pt>
                <c:pt idx="33">
                  <c:v>12334</c:v>
                </c:pt>
                <c:pt idx="34">
                  <c:v>14268.5</c:v>
                </c:pt>
                <c:pt idx="35">
                  <c:v>14277</c:v>
                </c:pt>
                <c:pt idx="36">
                  <c:v>14792.5</c:v>
                </c:pt>
                <c:pt idx="37">
                  <c:v>15409</c:v>
                </c:pt>
                <c:pt idx="38">
                  <c:v>15415.5</c:v>
                </c:pt>
                <c:pt idx="39">
                  <c:v>15429</c:v>
                </c:pt>
                <c:pt idx="40">
                  <c:v>16124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6">
                  <c:v>-0.11008000000583706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6F-41A1-BBA5-CF41218B2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713480"/>
        <c:axId val="1"/>
      </c:scatterChart>
      <c:valAx>
        <c:axId val="775713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713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649A1C-A962-6212-22D9-9CE0D2B9A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801" TargetMode="External"/><Relationship Id="rId26" Type="http://schemas.openxmlformats.org/officeDocument/2006/relationships/hyperlink" Target="http://www.konkoly.hu/cgi-bin/IBVS?5887" TargetMode="External"/><Relationship Id="rId3" Type="http://schemas.openxmlformats.org/officeDocument/2006/relationships/hyperlink" Target="http://www.konkoly.hu/cgi-bin/IBVS?5623" TargetMode="External"/><Relationship Id="rId21" Type="http://schemas.openxmlformats.org/officeDocument/2006/relationships/hyperlink" Target="http://www.konkoly.hu/cgi-bin/IBVS?5801" TargetMode="External"/><Relationship Id="rId7" Type="http://schemas.openxmlformats.org/officeDocument/2006/relationships/hyperlink" Target="http://www.konkoly.hu/cgi-bin/IBVS?5330" TargetMode="External"/><Relationship Id="rId12" Type="http://schemas.openxmlformats.org/officeDocument/2006/relationships/hyperlink" Target="http://www.konkoly.hu/cgi-bin/IBVS?5649" TargetMode="External"/><Relationship Id="rId17" Type="http://schemas.openxmlformats.org/officeDocument/2006/relationships/hyperlink" Target="http://www.konkoly.hu/cgi-bin/IBVS?5801" TargetMode="External"/><Relationship Id="rId25" Type="http://schemas.openxmlformats.org/officeDocument/2006/relationships/hyperlink" Target="http://www.konkoly.hu/cgi-bin/IBVS?5887" TargetMode="External"/><Relationship Id="rId2" Type="http://schemas.openxmlformats.org/officeDocument/2006/relationships/hyperlink" Target="http://www.konkoly.hu/cgi-bin/IBVS?5623" TargetMode="External"/><Relationship Id="rId16" Type="http://schemas.openxmlformats.org/officeDocument/2006/relationships/hyperlink" Target="http://www.konkoly.hu/cgi-bin/IBVS?5801" TargetMode="External"/><Relationship Id="rId20" Type="http://schemas.openxmlformats.org/officeDocument/2006/relationships/hyperlink" Target="http://www.konkoly.hu/cgi-bin/IBVS?5801" TargetMode="External"/><Relationship Id="rId1" Type="http://schemas.openxmlformats.org/officeDocument/2006/relationships/hyperlink" Target="http://www.konkoly.hu/cgi-bin/IBVS?5330" TargetMode="External"/><Relationship Id="rId6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konkoly.hu/cgi-bin/IBVS?5588" TargetMode="External"/><Relationship Id="rId24" Type="http://schemas.openxmlformats.org/officeDocument/2006/relationships/hyperlink" Target="http://www.konkoly.hu/cgi-bin/IBVS?5887" TargetMode="External"/><Relationship Id="rId5" Type="http://schemas.openxmlformats.org/officeDocument/2006/relationships/hyperlink" Target="http://www.konkoly.hu/cgi-bin/IBVS?5330" TargetMode="External"/><Relationship Id="rId15" Type="http://schemas.openxmlformats.org/officeDocument/2006/relationships/hyperlink" Target="http://www.konkoly.hu/cgi-bin/IBVS?5806" TargetMode="External"/><Relationship Id="rId23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5801" TargetMode="External"/><Relationship Id="rId4" Type="http://schemas.openxmlformats.org/officeDocument/2006/relationships/hyperlink" Target="http://www.konkoly.hu/cgi-bin/IBVS?5330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konkoly.hu/cgi-bin/IBVS?5677" TargetMode="External"/><Relationship Id="rId22" Type="http://schemas.openxmlformats.org/officeDocument/2006/relationships/hyperlink" Target="http://www.konkoly.hu/cgi-bin/IBVS?5887" TargetMode="External"/><Relationship Id="rId2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23</v>
      </c>
      <c r="B2" s="7" t="s">
        <v>35</v>
      </c>
      <c r="C2" s="17" t="s">
        <v>39</v>
      </c>
    </row>
    <row r="3" spans="1:6" ht="13.5" thickBot="1">
      <c r="D3" s="16" t="s">
        <v>176</v>
      </c>
    </row>
    <row r="4" spans="1:6" ht="13.5" thickBot="1">
      <c r="A4" s="4" t="s">
        <v>29</v>
      </c>
      <c r="C4" s="39">
        <v>48500.434000000001</v>
      </c>
      <c r="D4" s="40">
        <v>0.59185600000000005</v>
      </c>
    </row>
    <row r="5" spans="1:6">
      <c r="A5" s="22" t="s">
        <v>42</v>
      </c>
      <c r="B5" s="18"/>
      <c r="C5" s="23">
        <v>-9.5</v>
      </c>
      <c r="D5" s="18" t="s">
        <v>43</v>
      </c>
    </row>
    <row r="6" spans="1:6">
      <c r="A6" s="4" t="s">
        <v>2</v>
      </c>
    </row>
    <row r="7" spans="1:6">
      <c r="A7" t="s">
        <v>3</v>
      </c>
      <c r="C7">
        <f>+C4</f>
        <v>48500.434000000001</v>
      </c>
    </row>
    <row r="8" spans="1:6">
      <c r="A8" t="s">
        <v>4</v>
      </c>
      <c r="C8">
        <f>+D4</f>
        <v>0.59185600000000005</v>
      </c>
    </row>
    <row r="9" spans="1:6">
      <c r="A9" s="37" t="s">
        <v>48</v>
      </c>
      <c r="B9" s="38">
        <v>22</v>
      </c>
      <c r="C9" s="35" t="str">
        <f>"F"&amp;B9</f>
        <v>F22</v>
      </c>
      <c r="D9" s="36" t="str">
        <f>"G"&amp;B9</f>
        <v>G22</v>
      </c>
    </row>
    <row r="10" spans="1:6" ht="13.5" thickBot="1">
      <c r="A10" s="18"/>
      <c r="B10" s="18"/>
      <c r="C10" s="3" t="s">
        <v>19</v>
      </c>
      <c r="D10" s="3" t="s">
        <v>20</v>
      </c>
      <c r="E10" s="18"/>
    </row>
    <row r="11" spans="1:6">
      <c r="A11" s="18" t="s">
        <v>15</v>
      </c>
      <c r="B11" s="18"/>
      <c r="C11" s="34">
        <f ca="1">INTERCEPT(INDIRECT($D$9):G992,INDIRECT($C$9):F992)</f>
        <v>-1.8248365788014198E-3</v>
      </c>
      <c r="D11" s="14"/>
      <c r="E11" s="18"/>
    </row>
    <row r="12" spans="1:6">
      <c r="A12" s="18" t="s">
        <v>16</v>
      </c>
      <c r="B12" s="18"/>
      <c r="C12" s="34">
        <f ca="1">SLOPE(INDIRECT($D$9):G992,INDIRECT($C$9):F992)</f>
        <v>4.2794845045752471E-6</v>
      </c>
      <c r="D12" s="14"/>
      <c r="E12" s="18"/>
    </row>
    <row r="13" spans="1:6">
      <c r="A13" s="18" t="s">
        <v>18</v>
      </c>
      <c r="B13" s="18"/>
      <c r="C13" s="14" t="s">
        <v>27</v>
      </c>
    </row>
    <row r="14" spans="1:6">
      <c r="A14" s="18"/>
      <c r="B14" s="18"/>
      <c r="C14" s="18"/>
    </row>
    <row r="15" spans="1:6">
      <c r="A15" s="24" t="s">
        <v>17</v>
      </c>
      <c r="B15" s="18"/>
      <c r="C15" s="25">
        <f ca="1">(C7+C11)+(C8+C12)*INT(MAX(F21:F3533))</f>
        <v>58043.587321571569</v>
      </c>
      <c r="E15" s="26" t="s">
        <v>50</v>
      </c>
      <c r="F15" s="23">
        <v>1</v>
      </c>
    </row>
    <row r="16" spans="1:6">
      <c r="A16" s="28" t="s">
        <v>5</v>
      </c>
      <c r="B16" s="18"/>
      <c r="C16" s="29">
        <f ca="1">+C8+C12</f>
        <v>0.59186027948450459</v>
      </c>
      <c r="E16" s="26" t="s">
        <v>44</v>
      </c>
      <c r="F16" s="27">
        <f ca="1">NOW()+15018.5+$C$5/24</f>
        <v>60346.670934490736</v>
      </c>
    </row>
    <row r="17" spans="1:21" ht="13.5" thickBot="1">
      <c r="A17" s="26" t="s">
        <v>40</v>
      </c>
      <c r="B17" s="18"/>
      <c r="C17" s="18">
        <f>COUNT(C21:C2191)</f>
        <v>41</v>
      </c>
      <c r="E17" s="26" t="s">
        <v>51</v>
      </c>
      <c r="F17" s="27">
        <f ca="1">ROUND(2*(F16-$C$7)/$C$8,0)/2+F15</f>
        <v>20016.5</v>
      </c>
    </row>
    <row r="18" spans="1:21" ht="14.25" thickTop="1" thickBot="1">
      <c r="A18" s="28" t="s">
        <v>6</v>
      </c>
      <c r="B18" s="18"/>
      <c r="C18" s="31">
        <f ca="1">+C15</f>
        <v>58043.587321571569</v>
      </c>
      <c r="D18" s="32">
        <f ca="1">+C16</f>
        <v>0.59186027948450459</v>
      </c>
      <c r="E18" s="26" t="s">
        <v>45</v>
      </c>
      <c r="F18" s="36">
        <f ca="1">ROUND(2*(F16-$C$15)/$C$16,0)/2+F15</f>
        <v>3892.5</v>
      </c>
    </row>
    <row r="19" spans="1:21" ht="13.5" thickTop="1">
      <c r="E19" s="26" t="s">
        <v>46</v>
      </c>
      <c r="F19" s="30">
        <f ca="1">+$C$15+$C$16*F18-15018.5-$C$5/24</f>
        <v>45329.299292798336</v>
      </c>
    </row>
    <row r="20" spans="1:21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60</v>
      </c>
      <c r="I20" s="6" t="s">
        <v>63</v>
      </c>
      <c r="J20" s="6" t="s">
        <v>57</v>
      </c>
      <c r="K20" s="6" t="s">
        <v>55</v>
      </c>
      <c r="L20" s="6" t="s">
        <v>24</v>
      </c>
      <c r="M20" s="6" t="s">
        <v>25</v>
      </c>
      <c r="N20" s="6" t="s">
        <v>28</v>
      </c>
      <c r="O20" s="6" t="s">
        <v>22</v>
      </c>
      <c r="P20" s="5" t="s">
        <v>21</v>
      </c>
      <c r="Q20" s="3" t="s">
        <v>14</v>
      </c>
      <c r="U20" s="71" t="s">
        <v>1</v>
      </c>
    </row>
    <row r="21" spans="1:21">
      <c r="A21" s="10" t="s">
        <v>30</v>
      </c>
      <c r="B21" s="9" t="s">
        <v>26</v>
      </c>
      <c r="C21" s="8">
        <v>48500.434000000001</v>
      </c>
      <c r="D21" s="8" t="s">
        <v>27</v>
      </c>
      <c r="E21">
        <f t="shared" ref="E21:E39" si="0">+(C21-C$7)/C$8</f>
        <v>0</v>
      </c>
      <c r="F21">
        <f t="shared" ref="F21:F61" si="1">ROUND(2*E21,0)/2</f>
        <v>0</v>
      </c>
      <c r="G21">
        <f t="shared" ref="G21:G39" si="2">+C21-(C$7+F21*C$8)</f>
        <v>0</v>
      </c>
      <c r="J21">
        <f>+G21</f>
        <v>0</v>
      </c>
      <c r="O21">
        <f t="shared" ref="O21:O39" ca="1" si="3">+C$11+C$12*$F21</f>
        <v>-1.8248365788014198E-3</v>
      </c>
      <c r="Q21" s="2">
        <f t="shared" ref="Q21:Q39" si="4">+C21-15018.5</f>
        <v>33481.934000000001</v>
      </c>
    </row>
    <row r="22" spans="1:21">
      <c r="A22" s="8" t="s">
        <v>30</v>
      </c>
      <c r="B22" s="15" t="s">
        <v>31</v>
      </c>
      <c r="C22" s="19">
        <v>52130.620900000002</v>
      </c>
      <c r="D22" s="19">
        <v>2.0000000000000001E-4</v>
      </c>
      <c r="E22">
        <f t="shared" si="0"/>
        <v>6133.5644143169966</v>
      </c>
      <c r="F22">
        <f t="shared" si="1"/>
        <v>6133.5</v>
      </c>
      <c r="G22">
        <f t="shared" si="2"/>
        <v>3.8123999998788349E-2</v>
      </c>
      <c r="J22">
        <f>+G22</f>
        <v>3.8123999998788349E-2</v>
      </c>
      <c r="O22">
        <f t="shared" ca="1" si="3"/>
        <v>2.4423381630010857E-2</v>
      </c>
      <c r="Q22" s="2">
        <f t="shared" si="4"/>
        <v>37112.120900000002</v>
      </c>
    </row>
    <row r="23" spans="1:21">
      <c r="A23" s="67" t="s">
        <v>32</v>
      </c>
      <c r="B23" s="12" t="s">
        <v>31</v>
      </c>
      <c r="C23" s="20">
        <v>52130.620900000002</v>
      </c>
      <c r="D23" s="21">
        <v>2.0000000000000001E-4</v>
      </c>
      <c r="E23">
        <f t="shared" si="0"/>
        <v>6133.5644143169966</v>
      </c>
      <c r="F23">
        <f t="shared" si="1"/>
        <v>6133.5</v>
      </c>
      <c r="G23">
        <f t="shared" si="2"/>
        <v>3.8123999998788349E-2</v>
      </c>
      <c r="K23">
        <f>+G23</f>
        <v>3.8123999998788349E-2</v>
      </c>
      <c r="O23">
        <f t="shared" ca="1" si="3"/>
        <v>2.4423381630010857E-2</v>
      </c>
      <c r="Q23" s="2">
        <f t="shared" si="4"/>
        <v>37112.120900000002</v>
      </c>
    </row>
    <row r="24" spans="1:21">
      <c r="A24" s="13" t="s">
        <v>33</v>
      </c>
      <c r="B24" s="14" t="s">
        <v>31</v>
      </c>
      <c r="C24" s="13">
        <v>52137.4133</v>
      </c>
      <c r="D24" s="13">
        <v>5.0000000000000001E-4</v>
      </c>
      <c r="E24">
        <f t="shared" si="0"/>
        <v>6145.0408545321816</v>
      </c>
      <c r="F24">
        <f t="shared" si="1"/>
        <v>6145</v>
      </c>
      <c r="G24">
        <f t="shared" si="2"/>
        <v>2.4180000000342261E-2</v>
      </c>
      <c r="J24">
        <f>+G24</f>
        <v>2.4180000000342261E-2</v>
      </c>
      <c r="O24">
        <f t="shared" ca="1" si="3"/>
        <v>2.4472595701813475E-2</v>
      </c>
      <c r="Q24" s="2">
        <f t="shared" si="4"/>
        <v>37118.9133</v>
      </c>
    </row>
    <row r="25" spans="1:21">
      <c r="A25" s="13" t="s">
        <v>33</v>
      </c>
      <c r="B25" s="14" t="s">
        <v>26</v>
      </c>
      <c r="C25" s="13">
        <v>52139.495600000002</v>
      </c>
      <c r="D25" s="13">
        <v>5.0000000000000001E-4</v>
      </c>
      <c r="E25">
        <f t="shared" si="0"/>
        <v>6148.5591089724539</v>
      </c>
      <c r="F25">
        <f t="shared" si="1"/>
        <v>6148.5</v>
      </c>
      <c r="G25">
        <f t="shared" si="2"/>
        <v>3.4983999998075888E-2</v>
      </c>
      <c r="J25">
        <f>+G25</f>
        <v>3.4983999998075888E-2</v>
      </c>
      <c r="O25">
        <f t="shared" ca="1" si="3"/>
        <v>2.4487573897579488E-2</v>
      </c>
      <c r="Q25" s="2">
        <f t="shared" si="4"/>
        <v>37120.995600000002</v>
      </c>
    </row>
    <row r="26" spans="1:21">
      <c r="A26" s="8" t="s">
        <v>30</v>
      </c>
      <c r="B26" s="15" t="s">
        <v>31</v>
      </c>
      <c r="C26" s="19">
        <v>52149.5576</v>
      </c>
      <c r="D26" s="19">
        <v>8.0000000000000004E-4</v>
      </c>
      <c r="E26">
        <f t="shared" si="0"/>
        <v>6165.5598659133284</v>
      </c>
      <c r="F26">
        <f t="shared" si="1"/>
        <v>6165.5</v>
      </c>
      <c r="G26">
        <f t="shared" si="2"/>
        <v>3.5431999996944796E-2</v>
      </c>
      <c r="J26">
        <f>+G26</f>
        <v>3.5431999996944796E-2</v>
      </c>
      <c r="O26">
        <f t="shared" ca="1" si="3"/>
        <v>2.4560325134157266E-2</v>
      </c>
      <c r="Q26" s="2">
        <f t="shared" si="4"/>
        <v>37131.0576</v>
      </c>
    </row>
    <row r="27" spans="1:21">
      <c r="A27" s="67" t="s">
        <v>32</v>
      </c>
      <c r="B27" s="12" t="s">
        <v>31</v>
      </c>
      <c r="C27" s="20">
        <v>52149.5576</v>
      </c>
      <c r="D27" s="21">
        <v>8.0000000000000004E-4</v>
      </c>
      <c r="E27">
        <f t="shared" si="0"/>
        <v>6165.5598659133284</v>
      </c>
      <c r="F27">
        <f t="shared" si="1"/>
        <v>6165.5</v>
      </c>
      <c r="G27">
        <f t="shared" si="2"/>
        <v>3.5431999996944796E-2</v>
      </c>
      <c r="K27">
        <f>+G27</f>
        <v>3.5431999996944796E-2</v>
      </c>
      <c r="O27">
        <f t="shared" ca="1" si="3"/>
        <v>2.4560325134157266E-2</v>
      </c>
      <c r="Q27" s="2">
        <f t="shared" si="4"/>
        <v>37131.0576</v>
      </c>
    </row>
    <row r="28" spans="1:21">
      <c r="A28" s="8" t="s">
        <v>30</v>
      </c>
      <c r="B28" s="15" t="s">
        <v>31</v>
      </c>
      <c r="C28" s="19">
        <v>52171.455399999999</v>
      </c>
      <c r="D28" s="19">
        <v>5.0000000000000001E-4</v>
      </c>
      <c r="E28">
        <f t="shared" si="0"/>
        <v>6202.5583925819756</v>
      </c>
      <c r="F28">
        <f t="shared" si="1"/>
        <v>6202.5</v>
      </c>
      <c r="G28">
        <f t="shared" si="2"/>
        <v>3.4560000000055879E-2</v>
      </c>
      <c r="J28">
        <f>+G28</f>
        <v>3.4560000000055879E-2</v>
      </c>
      <c r="O28">
        <f t="shared" ca="1" si="3"/>
        <v>2.4718666060826549E-2</v>
      </c>
      <c r="Q28" s="2">
        <f t="shared" si="4"/>
        <v>37152.955399999999</v>
      </c>
    </row>
    <row r="29" spans="1:21">
      <c r="A29" s="11" t="s">
        <v>32</v>
      </c>
      <c r="B29" s="12" t="s">
        <v>31</v>
      </c>
      <c r="C29" s="20">
        <v>52171.455399999999</v>
      </c>
      <c r="D29" s="21">
        <v>5.0000000000000001E-4</v>
      </c>
      <c r="E29">
        <f t="shared" si="0"/>
        <v>6202.5583925819756</v>
      </c>
      <c r="F29">
        <f t="shared" si="1"/>
        <v>6202.5</v>
      </c>
      <c r="G29">
        <f t="shared" si="2"/>
        <v>3.4560000000055879E-2</v>
      </c>
      <c r="K29">
        <f>+G29</f>
        <v>3.4560000000055879E-2</v>
      </c>
      <c r="O29">
        <f t="shared" ca="1" si="3"/>
        <v>2.4718666060826549E-2</v>
      </c>
      <c r="Q29" s="2">
        <f t="shared" si="4"/>
        <v>37152.955399999999</v>
      </c>
    </row>
    <row r="30" spans="1:21">
      <c r="A30" s="13" t="s">
        <v>33</v>
      </c>
      <c r="B30" s="14" t="s">
        <v>31</v>
      </c>
      <c r="C30" s="13">
        <v>52182.386599999998</v>
      </c>
      <c r="D30" s="13">
        <v>5.0000000000000001E-4</v>
      </c>
      <c r="E30">
        <f t="shared" si="0"/>
        <v>6221.0277499932363</v>
      </c>
      <c r="F30">
        <f t="shared" si="1"/>
        <v>6221</v>
      </c>
      <c r="G30">
        <f t="shared" si="2"/>
        <v>1.642399999400368E-2</v>
      </c>
      <c r="J30">
        <f>+G30</f>
        <v>1.642399999400368E-2</v>
      </c>
      <c r="O30">
        <f t="shared" ca="1" si="3"/>
        <v>2.4797836524161194E-2</v>
      </c>
      <c r="Q30" s="2">
        <f t="shared" si="4"/>
        <v>37163.886599999998</v>
      </c>
    </row>
    <row r="31" spans="1:21">
      <c r="A31" s="8" t="s">
        <v>30</v>
      </c>
      <c r="B31" s="15" t="s">
        <v>31</v>
      </c>
      <c r="C31" s="19">
        <v>52187.432099999998</v>
      </c>
      <c r="D31" s="19">
        <v>6.9999999999999999E-4</v>
      </c>
      <c r="E31">
        <f t="shared" si="0"/>
        <v>6229.552627666184</v>
      </c>
      <c r="F31">
        <f t="shared" si="1"/>
        <v>6229.5</v>
      </c>
      <c r="G31">
        <f t="shared" si="2"/>
        <v>3.1147999994573183E-2</v>
      </c>
      <c r="J31">
        <f>+G31</f>
        <v>3.1147999994573183E-2</v>
      </c>
      <c r="O31">
        <f t="shared" ca="1" si="3"/>
        <v>2.4834212142450081E-2</v>
      </c>
      <c r="Q31" s="2">
        <f t="shared" si="4"/>
        <v>37168.932099999998</v>
      </c>
    </row>
    <row r="32" spans="1:21">
      <c r="A32" s="67" t="s">
        <v>32</v>
      </c>
      <c r="B32" s="12" t="s">
        <v>31</v>
      </c>
      <c r="C32" s="20">
        <v>52187.432099999998</v>
      </c>
      <c r="D32" s="21">
        <v>6.9999999999999999E-4</v>
      </c>
      <c r="E32">
        <f t="shared" si="0"/>
        <v>6229.552627666184</v>
      </c>
      <c r="F32">
        <f t="shared" si="1"/>
        <v>6229.5</v>
      </c>
      <c r="G32">
        <f t="shared" si="2"/>
        <v>3.1147999994573183E-2</v>
      </c>
      <c r="K32">
        <f>+G32</f>
        <v>3.1147999994573183E-2</v>
      </c>
      <c r="O32">
        <f t="shared" ca="1" si="3"/>
        <v>2.4834212142450081E-2</v>
      </c>
      <c r="Q32" s="2">
        <f t="shared" si="4"/>
        <v>37168.932099999998</v>
      </c>
    </row>
    <row r="33" spans="1:17">
      <c r="A33" s="13" t="s">
        <v>33</v>
      </c>
      <c r="B33" s="14" t="s">
        <v>31</v>
      </c>
      <c r="C33" s="13">
        <v>52195.414599999996</v>
      </c>
      <c r="D33" s="13">
        <v>2.0000000000000001E-4</v>
      </c>
      <c r="E33">
        <f t="shared" si="0"/>
        <v>6243.039861047273</v>
      </c>
      <c r="F33">
        <f t="shared" si="1"/>
        <v>6243</v>
      </c>
      <c r="G33">
        <f t="shared" si="2"/>
        <v>2.3591999997734092E-2</v>
      </c>
      <c r="J33">
        <f t="shared" ref="J33:J38" si="5">+G33</f>
        <v>2.3591999997734092E-2</v>
      </c>
      <c r="O33">
        <f t="shared" ca="1" si="3"/>
        <v>2.4891985183261849E-2</v>
      </c>
      <c r="Q33" s="2">
        <f t="shared" si="4"/>
        <v>37176.914599999996</v>
      </c>
    </row>
    <row r="34" spans="1:17">
      <c r="A34" s="13" t="s">
        <v>33</v>
      </c>
      <c r="B34" s="14" t="s">
        <v>26</v>
      </c>
      <c r="C34" s="13">
        <v>52477.429100000001</v>
      </c>
      <c r="D34" s="13">
        <v>1E-3</v>
      </c>
      <c r="E34">
        <f t="shared" si="0"/>
        <v>6719.5316090400365</v>
      </c>
      <c r="F34">
        <f t="shared" si="1"/>
        <v>6719.5</v>
      </c>
      <c r="G34">
        <f t="shared" si="2"/>
        <v>1.8707999995967839E-2</v>
      </c>
      <c r="J34">
        <f t="shared" si="5"/>
        <v>1.8707999995967839E-2</v>
      </c>
      <c r="O34">
        <f t="shared" ca="1" si="3"/>
        <v>2.6931159549691955E-2</v>
      </c>
      <c r="Q34" s="2">
        <f t="shared" si="4"/>
        <v>37458.929100000001</v>
      </c>
    </row>
    <row r="35" spans="1:17">
      <c r="A35" s="13" t="s">
        <v>33</v>
      </c>
      <c r="B35" s="14" t="s">
        <v>31</v>
      </c>
      <c r="C35" s="13">
        <v>52482.462399999997</v>
      </c>
      <c r="D35" s="13">
        <v>1E-3</v>
      </c>
      <c r="E35">
        <f t="shared" si="0"/>
        <v>6728.0358735908658</v>
      </c>
      <c r="F35">
        <f t="shared" si="1"/>
        <v>6728</v>
      </c>
      <c r="G35">
        <f t="shared" si="2"/>
        <v>2.1231999991869088E-2</v>
      </c>
      <c r="J35">
        <f t="shared" si="5"/>
        <v>2.1231999991869088E-2</v>
      </c>
      <c r="O35">
        <f t="shared" ca="1" si="3"/>
        <v>2.6967535167980842E-2</v>
      </c>
      <c r="Q35" s="2">
        <f t="shared" si="4"/>
        <v>37463.962399999997</v>
      </c>
    </row>
    <row r="36" spans="1:17">
      <c r="A36" s="11" t="s">
        <v>34</v>
      </c>
      <c r="B36" s="41" t="s">
        <v>26</v>
      </c>
      <c r="C36" s="42">
        <v>53229.403899999998</v>
      </c>
      <c r="D36" s="42">
        <v>6.9999999999999999E-4</v>
      </c>
      <c r="E36" s="43">
        <f t="shared" si="0"/>
        <v>7990.0683612229932</v>
      </c>
      <c r="F36">
        <f t="shared" si="1"/>
        <v>7990</v>
      </c>
      <c r="G36">
        <f t="shared" si="2"/>
        <v>4.0459999996528495E-2</v>
      </c>
      <c r="J36">
        <f t="shared" si="5"/>
        <v>4.0459999996528495E-2</v>
      </c>
      <c r="O36">
        <f t="shared" ca="1" si="3"/>
        <v>3.2368244612754803E-2</v>
      </c>
      <c r="Q36" s="2">
        <f t="shared" si="4"/>
        <v>38210.903899999998</v>
      </c>
    </row>
    <row r="37" spans="1:17">
      <c r="A37" s="44" t="s">
        <v>37</v>
      </c>
      <c r="B37" s="45" t="s">
        <v>26</v>
      </c>
      <c r="C37" s="46">
        <v>53580.358999999997</v>
      </c>
      <c r="D37" s="46">
        <v>8.9999999999999998E-4</v>
      </c>
      <c r="E37" s="43">
        <f t="shared" si="0"/>
        <v>8583.0421589035086</v>
      </c>
      <c r="F37">
        <f t="shared" si="1"/>
        <v>8583</v>
      </c>
      <c r="G37">
        <f t="shared" si="2"/>
        <v>2.4951999992481433E-2</v>
      </c>
      <c r="J37">
        <f t="shared" si="5"/>
        <v>2.4951999992481433E-2</v>
      </c>
      <c r="O37">
        <f t="shared" ca="1" si="3"/>
        <v>3.4905978923967927E-2</v>
      </c>
      <c r="Q37" s="2">
        <f t="shared" si="4"/>
        <v>38561.858999999997</v>
      </c>
    </row>
    <row r="38" spans="1:17">
      <c r="A38" s="47" t="s">
        <v>41</v>
      </c>
      <c r="B38" s="33"/>
      <c r="C38" s="48">
        <v>53600.488400000002</v>
      </c>
      <c r="D38" s="48">
        <v>9.4999999999999998E-3</v>
      </c>
      <c r="E38" s="43">
        <f t="shared" si="0"/>
        <v>8617.0527966262071</v>
      </c>
      <c r="F38">
        <f t="shared" si="1"/>
        <v>8617</v>
      </c>
      <c r="G38">
        <f t="shared" si="2"/>
        <v>3.1247999999322928E-2</v>
      </c>
      <c r="J38">
        <f t="shared" si="5"/>
        <v>3.1247999999322928E-2</v>
      </c>
      <c r="O38">
        <f t="shared" ca="1" si="3"/>
        <v>3.5051481397123482E-2</v>
      </c>
      <c r="Q38" s="2">
        <f t="shared" si="4"/>
        <v>38581.988400000002</v>
      </c>
    </row>
    <row r="39" spans="1:17">
      <c r="A39" s="44" t="s">
        <v>38</v>
      </c>
      <c r="B39" s="45" t="s">
        <v>26</v>
      </c>
      <c r="C39" s="46">
        <v>53628.600299999998</v>
      </c>
      <c r="D39" s="46">
        <v>2.9999999999999997E-4</v>
      </c>
      <c r="E39" s="43">
        <f t="shared" si="0"/>
        <v>8664.5506677299836</v>
      </c>
      <c r="F39">
        <f t="shared" si="1"/>
        <v>8664.5</v>
      </c>
      <c r="G39">
        <f t="shared" si="2"/>
        <v>2.9987999994773418E-2</v>
      </c>
      <c r="K39">
        <f>+G39</f>
        <v>2.9987999994773418E-2</v>
      </c>
      <c r="O39">
        <f t="shared" ca="1" si="3"/>
        <v>3.5254756911090812E-2</v>
      </c>
      <c r="Q39" s="2">
        <f t="shared" si="4"/>
        <v>38610.100299999998</v>
      </c>
    </row>
    <row r="40" spans="1:17">
      <c r="A40" s="33" t="s">
        <v>47</v>
      </c>
      <c r="B40" s="45" t="s">
        <v>26</v>
      </c>
      <c r="C40" s="46">
        <v>53994.666699999943</v>
      </c>
      <c r="D40" s="46">
        <v>8.0000000000000004E-4</v>
      </c>
      <c r="E40" s="43">
        <f t="shared" ref="E40:E60" si="6">+(C40-C$7)/C$8</f>
        <v>9283.0565205048897</v>
      </c>
      <c r="F40">
        <f t="shared" si="1"/>
        <v>9283</v>
      </c>
      <c r="G40">
        <f t="shared" ref="G40:G56" si="7">+C40-(C$7+F40*C$8)</f>
        <v>3.3451999945100397E-2</v>
      </c>
      <c r="K40">
        <f>+G40</f>
        <v>3.3451999945100397E-2</v>
      </c>
      <c r="O40">
        <f t="shared" ref="O40:O60" ca="1" si="8">+C$11+C$12*$F40</f>
        <v>3.7901618077170601E-2</v>
      </c>
      <c r="Q40" s="2">
        <f t="shared" ref="Q40:Q60" si="9">+C40-15018.5</f>
        <v>38976.166699999943</v>
      </c>
    </row>
    <row r="41" spans="1:17">
      <c r="A41" s="11" t="s">
        <v>47</v>
      </c>
      <c r="B41" s="50" t="s">
        <v>26</v>
      </c>
      <c r="C41" s="11">
        <v>53994.666699999943</v>
      </c>
      <c r="D41" s="11">
        <v>8.0000000000000004E-4</v>
      </c>
      <c r="E41" s="43">
        <f t="shared" si="6"/>
        <v>9283.0565205048897</v>
      </c>
      <c r="F41">
        <f t="shared" si="1"/>
        <v>9283</v>
      </c>
      <c r="G41">
        <f t="shared" si="7"/>
        <v>3.3451999945100397E-2</v>
      </c>
      <c r="K41">
        <f>+G41</f>
        <v>3.3451999945100397E-2</v>
      </c>
      <c r="O41">
        <f t="shared" ca="1" si="8"/>
        <v>3.7901618077170601E-2</v>
      </c>
      <c r="Q41" s="2">
        <f t="shared" si="9"/>
        <v>38976.166699999943</v>
      </c>
    </row>
    <row r="42" spans="1:17">
      <c r="A42" s="64" t="s">
        <v>127</v>
      </c>
      <c r="B42" s="66" t="s">
        <v>31</v>
      </c>
      <c r="C42" s="65">
        <v>53994.666700000002</v>
      </c>
      <c r="D42" s="65" t="s">
        <v>63</v>
      </c>
      <c r="E42" s="43">
        <f t="shared" si="6"/>
        <v>9283.0565205049879</v>
      </c>
      <c r="F42">
        <f t="shared" si="1"/>
        <v>9283</v>
      </c>
      <c r="G42">
        <f t="shared" si="7"/>
        <v>3.3452000003308058E-2</v>
      </c>
      <c r="J42">
        <f t="shared" ref="J42:J53" si="10">+G42</f>
        <v>3.3452000003308058E-2</v>
      </c>
      <c r="O42">
        <f t="shared" ca="1" si="8"/>
        <v>3.7901618077170601E-2</v>
      </c>
      <c r="Q42" s="2">
        <f t="shared" si="9"/>
        <v>38976.166700000002</v>
      </c>
    </row>
    <row r="43" spans="1:17">
      <c r="A43" s="64" t="s">
        <v>133</v>
      </c>
      <c r="B43" s="66" t="s">
        <v>26</v>
      </c>
      <c r="C43" s="65">
        <v>54278.467299999997</v>
      </c>
      <c r="D43" s="65" t="s">
        <v>63</v>
      </c>
      <c r="E43" s="43">
        <f t="shared" si="6"/>
        <v>9762.5660633667558</v>
      </c>
      <c r="F43">
        <f t="shared" si="1"/>
        <v>9762.5</v>
      </c>
      <c r="G43">
        <f t="shared" si="7"/>
        <v>3.9099999994505197E-2</v>
      </c>
      <c r="J43">
        <f t="shared" si="10"/>
        <v>3.9099999994505197E-2</v>
      </c>
      <c r="O43">
        <f t="shared" ca="1" si="8"/>
        <v>3.9953630897114428E-2</v>
      </c>
      <c r="Q43" s="2">
        <f t="shared" si="9"/>
        <v>39259.967299999997</v>
      </c>
    </row>
    <row r="44" spans="1:17">
      <c r="A44" s="64" t="s">
        <v>133</v>
      </c>
      <c r="B44" s="66" t="s">
        <v>31</v>
      </c>
      <c r="C44" s="65">
        <v>54286.4548</v>
      </c>
      <c r="D44" s="65" t="s">
        <v>63</v>
      </c>
      <c r="E44" s="43">
        <f t="shared" si="6"/>
        <v>9776.0617447487184</v>
      </c>
      <c r="F44">
        <f t="shared" si="1"/>
        <v>9776</v>
      </c>
      <c r="G44">
        <f t="shared" si="7"/>
        <v>3.6543999995046761E-2</v>
      </c>
      <c r="J44">
        <f t="shared" si="10"/>
        <v>3.6543999995046761E-2</v>
      </c>
      <c r="O44">
        <f t="shared" ca="1" si="8"/>
        <v>4.0011403937926196E-2</v>
      </c>
      <c r="Q44" s="2">
        <f t="shared" si="9"/>
        <v>39267.9548</v>
      </c>
    </row>
    <row r="45" spans="1:17">
      <c r="A45" s="64" t="s">
        <v>133</v>
      </c>
      <c r="B45" s="66" t="s">
        <v>26</v>
      </c>
      <c r="C45" s="65">
        <v>54310.433900000004</v>
      </c>
      <c r="D45" s="65" t="s">
        <v>63</v>
      </c>
      <c r="E45" s="43">
        <f t="shared" si="6"/>
        <v>9816.5768362574709</v>
      </c>
      <c r="F45">
        <f t="shared" si="1"/>
        <v>9816.5</v>
      </c>
      <c r="G45">
        <f t="shared" si="7"/>
        <v>4.5475999999325722E-2</v>
      </c>
      <c r="J45">
        <f t="shared" si="10"/>
        <v>4.5475999999325722E-2</v>
      </c>
      <c r="O45">
        <f t="shared" ca="1" si="8"/>
        <v>4.0184723060361492E-2</v>
      </c>
      <c r="Q45" s="2">
        <f t="shared" si="9"/>
        <v>39291.933900000004</v>
      </c>
    </row>
    <row r="46" spans="1:17">
      <c r="A46" s="64" t="s">
        <v>133</v>
      </c>
      <c r="B46" s="66" t="s">
        <v>31</v>
      </c>
      <c r="C46" s="65">
        <v>54331.426899999999</v>
      </c>
      <c r="D46" s="65" t="s">
        <v>63</v>
      </c>
      <c r="E46" s="43">
        <f t="shared" si="6"/>
        <v>9852.0466126895681</v>
      </c>
      <c r="F46">
        <f t="shared" si="1"/>
        <v>9852</v>
      </c>
      <c r="G46">
        <f t="shared" si="7"/>
        <v>2.7587999997194856E-2</v>
      </c>
      <c r="J46">
        <f t="shared" si="10"/>
        <v>2.7587999997194856E-2</v>
      </c>
      <c r="O46">
        <f t="shared" ca="1" si="8"/>
        <v>4.0336644760273918E-2</v>
      </c>
      <c r="Q46" s="2">
        <f t="shared" si="9"/>
        <v>39312.926899999999</v>
      </c>
    </row>
    <row r="47" spans="1:17">
      <c r="A47" s="64" t="s">
        <v>133</v>
      </c>
      <c r="B47" s="66" t="s">
        <v>31</v>
      </c>
      <c r="C47" s="65">
        <v>54344.4355</v>
      </c>
      <c r="D47" s="65" t="s">
        <v>63</v>
      </c>
      <c r="E47" s="43">
        <f t="shared" si="6"/>
        <v>9874.0259455002542</v>
      </c>
      <c r="F47">
        <f t="shared" si="1"/>
        <v>9874</v>
      </c>
      <c r="G47">
        <f t="shared" si="7"/>
        <v>1.5355999996245373E-2</v>
      </c>
      <c r="J47">
        <f t="shared" si="10"/>
        <v>1.5355999996245373E-2</v>
      </c>
      <c r="O47">
        <f t="shared" ca="1" si="8"/>
        <v>4.0430793419374569E-2</v>
      </c>
      <c r="Q47" s="2">
        <f t="shared" si="9"/>
        <v>39325.9355</v>
      </c>
    </row>
    <row r="48" spans="1:17">
      <c r="A48" s="64" t="s">
        <v>133</v>
      </c>
      <c r="B48" s="66" t="s">
        <v>31</v>
      </c>
      <c r="C48" s="65">
        <v>54366.352800000001</v>
      </c>
      <c r="D48" s="65" t="s">
        <v>63</v>
      </c>
      <c r="E48" s="43">
        <f t="shared" si="6"/>
        <v>9911.0574193722787</v>
      </c>
      <c r="F48">
        <f t="shared" si="1"/>
        <v>9911</v>
      </c>
      <c r="G48">
        <f t="shared" si="7"/>
        <v>3.398400000151014E-2</v>
      </c>
      <c r="J48">
        <f t="shared" si="10"/>
        <v>3.398400000151014E-2</v>
      </c>
      <c r="O48">
        <f t="shared" ca="1" si="8"/>
        <v>4.0589134346043852E-2</v>
      </c>
      <c r="Q48" s="2">
        <f t="shared" si="9"/>
        <v>39347.852800000001</v>
      </c>
    </row>
    <row r="49" spans="1:21">
      <c r="A49" s="48" t="s">
        <v>49</v>
      </c>
      <c r="B49" s="49" t="s">
        <v>26</v>
      </c>
      <c r="C49" s="48">
        <v>54414.296600000001</v>
      </c>
      <c r="D49" s="48">
        <v>5.0000000000000001E-4</v>
      </c>
      <c r="E49" s="43">
        <f t="shared" si="6"/>
        <v>9992.0632721472793</v>
      </c>
      <c r="F49">
        <f t="shared" si="1"/>
        <v>9992</v>
      </c>
      <c r="G49">
        <f t="shared" si="7"/>
        <v>3.7448000002768822E-2</v>
      </c>
      <c r="J49">
        <f t="shared" si="10"/>
        <v>3.7448000002768822E-2</v>
      </c>
      <c r="O49">
        <f t="shared" ca="1" si="8"/>
        <v>4.0935772590914452E-2</v>
      </c>
      <c r="Q49" s="2">
        <f t="shared" si="9"/>
        <v>39395.796600000001</v>
      </c>
    </row>
    <row r="50" spans="1:21">
      <c r="A50" s="48" t="s">
        <v>49</v>
      </c>
      <c r="B50" s="49" t="s">
        <v>31</v>
      </c>
      <c r="C50" s="48">
        <v>54674.405599999998</v>
      </c>
      <c r="D50" s="48">
        <v>4.0000000000000002E-4</v>
      </c>
      <c r="E50" s="43">
        <f t="shared" si="6"/>
        <v>10431.543483550047</v>
      </c>
      <c r="F50">
        <f t="shared" si="1"/>
        <v>10431.5</v>
      </c>
      <c r="G50">
        <f t="shared" si="7"/>
        <v>2.5735999995958991E-2</v>
      </c>
      <c r="J50">
        <f t="shared" si="10"/>
        <v>2.5735999995958991E-2</v>
      </c>
      <c r="O50">
        <f t="shared" ca="1" si="8"/>
        <v>4.2816606030675268E-2</v>
      </c>
      <c r="Q50" s="2">
        <f t="shared" si="9"/>
        <v>39655.905599999998</v>
      </c>
    </row>
    <row r="51" spans="1:21">
      <c r="A51" s="48" t="s">
        <v>49</v>
      </c>
      <c r="B51" s="49" t="s">
        <v>26</v>
      </c>
      <c r="C51" s="48">
        <v>54679.449800000002</v>
      </c>
      <c r="D51" s="48">
        <v>5.9999999999999995E-4</v>
      </c>
      <c r="E51" s="43">
        <f t="shared" si="6"/>
        <v>10440.066164742777</v>
      </c>
      <c r="F51">
        <f t="shared" si="1"/>
        <v>10440</v>
      </c>
      <c r="G51">
        <f t="shared" si="7"/>
        <v>3.9160000000265427E-2</v>
      </c>
      <c r="J51">
        <f t="shared" si="10"/>
        <v>3.9160000000265427E-2</v>
      </c>
      <c r="O51">
        <f t="shared" ca="1" si="8"/>
        <v>4.2852981648964159E-2</v>
      </c>
      <c r="Q51" s="2">
        <f t="shared" si="9"/>
        <v>39660.949800000002</v>
      </c>
    </row>
    <row r="52" spans="1:21">
      <c r="A52" s="48" t="s">
        <v>49</v>
      </c>
      <c r="B52" s="49" t="s">
        <v>31</v>
      </c>
      <c r="C52" s="48">
        <v>54693.359400000001</v>
      </c>
      <c r="D52" s="48">
        <v>8.0000000000000004E-4</v>
      </c>
      <c r="E52" s="43">
        <f t="shared" si="6"/>
        <v>10463.567827309345</v>
      </c>
      <c r="F52">
        <f t="shared" si="1"/>
        <v>10463.5</v>
      </c>
      <c r="G52">
        <f t="shared" si="7"/>
        <v>4.014399999869056E-2</v>
      </c>
      <c r="J52">
        <f t="shared" si="10"/>
        <v>4.014399999869056E-2</v>
      </c>
      <c r="O52">
        <f t="shared" ca="1" si="8"/>
        <v>4.2953549534821681E-2</v>
      </c>
      <c r="Q52" s="2">
        <f t="shared" si="9"/>
        <v>39674.859400000001</v>
      </c>
    </row>
    <row r="53" spans="1:21">
      <c r="A53" s="48" t="s">
        <v>49</v>
      </c>
      <c r="B53" s="49" t="s">
        <v>26</v>
      </c>
      <c r="C53" s="48">
        <v>54759.344100000002</v>
      </c>
      <c r="D53" s="48">
        <v>5.0000000000000001E-4</v>
      </c>
      <c r="E53" s="43">
        <f t="shared" si="6"/>
        <v>10575.055587845693</v>
      </c>
      <c r="F53">
        <f t="shared" si="1"/>
        <v>10575</v>
      </c>
      <c r="G53">
        <f t="shared" si="7"/>
        <v>3.2899999998335261E-2</v>
      </c>
      <c r="J53">
        <f t="shared" si="10"/>
        <v>3.2899999998335261E-2</v>
      </c>
      <c r="O53">
        <f t="shared" ca="1" si="8"/>
        <v>4.3430712057081822E-2</v>
      </c>
      <c r="Q53" s="2">
        <f t="shared" si="9"/>
        <v>39740.844100000002</v>
      </c>
    </row>
    <row r="54" spans="1:21">
      <c r="A54" s="68" t="s">
        <v>52</v>
      </c>
      <c r="B54" s="69" t="s">
        <v>26</v>
      </c>
      <c r="C54" s="70">
        <v>55800.431929999999</v>
      </c>
      <c r="D54" s="70">
        <v>8.0000000000000004E-4</v>
      </c>
      <c r="E54" s="43">
        <f t="shared" si="6"/>
        <v>12334.077765537559</v>
      </c>
      <c r="F54">
        <f t="shared" si="1"/>
        <v>12334</v>
      </c>
      <c r="G54">
        <f t="shared" si="7"/>
        <v>4.602599999634549E-2</v>
      </c>
      <c r="K54">
        <f>+G54</f>
        <v>4.602599999634549E-2</v>
      </c>
      <c r="O54">
        <f t="shared" ca="1" si="8"/>
        <v>5.095832530062968E-2</v>
      </c>
      <c r="Q54" s="2">
        <f t="shared" si="9"/>
        <v>40781.931929999999</v>
      </c>
    </row>
    <row r="55" spans="1:21">
      <c r="A55" s="72" t="s">
        <v>0</v>
      </c>
      <c r="B55" s="73" t="s">
        <v>26</v>
      </c>
      <c r="C55" s="74">
        <v>56945.387199999997</v>
      </c>
      <c r="D55" s="74">
        <v>4.0000000000000002E-4</v>
      </c>
      <c r="E55" s="43">
        <f t="shared" si="6"/>
        <v>14268.594387824058</v>
      </c>
      <c r="F55">
        <f t="shared" si="1"/>
        <v>14268.5</v>
      </c>
      <c r="G55">
        <f t="shared" si="7"/>
        <v>5.5863999994471669E-2</v>
      </c>
      <c r="K55">
        <f>+G55</f>
        <v>5.5863999994471669E-2</v>
      </c>
      <c r="O55">
        <f t="shared" ca="1" si="8"/>
        <v>5.9236988074730497E-2</v>
      </c>
      <c r="Q55" s="2">
        <f t="shared" si="9"/>
        <v>41926.887199999997</v>
      </c>
    </row>
    <row r="56" spans="1:21">
      <c r="A56" s="72" t="s">
        <v>0</v>
      </c>
      <c r="B56" s="73" t="s">
        <v>31</v>
      </c>
      <c r="C56" s="74">
        <v>56950.383000000002</v>
      </c>
      <c r="D56" s="74">
        <v>5.0000000000000001E-4</v>
      </c>
      <c r="E56" s="43">
        <f t="shared" si="6"/>
        <v>14277.035292368413</v>
      </c>
      <c r="F56">
        <f t="shared" si="1"/>
        <v>14277</v>
      </c>
      <c r="G56">
        <f t="shared" si="7"/>
        <v>2.0887999999104068E-2</v>
      </c>
      <c r="K56">
        <f>+G56</f>
        <v>2.0887999999104068E-2</v>
      </c>
      <c r="O56">
        <f t="shared" ca="1" si="8"/>
        <v>5.9273363693019381E-2</v>
      </c>
      <c r="Q56" s="2">
        <f t="shared" si="9"/>
        <v>41931.883000000002</v>
      </c>
    </row>
    <row r="57" spans="1:21">
      <c r="A57" s="72" t="s">
        <v>0</v>
      </c>
      <c r="B57" s="73" t="s">
        <v>26</v>
      </c>
      <c r="C57" s="74">
        <v>57255.353799999997</v>
      </c>
      <c r="D57" s="74">
        <v>4.0000000000000002E-4</v>
      </c>
      <c r="E57" s="43">
        <f t="shared" si="6"/>
        <v>14792.314008812946</v>
      </c>
      <c r="F57">
        <f t="shared" si="1"/>
        <v>14792.5</v>
      </c>
      <c r="O57">
        <f t="shared" ca="1" si="8"/>
        <v>6.1479437955127919E-2</v>
      </c>
      <c r="Q57" s="2">
        <f t="shared" si="9"/>
        <v>42236.853799999997</v>
      </c>
      <c r="U57">
        <f>+C57-(C$7+F57*C$8)</f>
        <v>-0.11008000000583706</v>
      </c>
    </row>
    <row r="58" spans="1:21">
      <c r="A58" s="72" t="s">
        <v>0</v>
      </c>
      <c r="B58" s="73" t="s">
        <v>31</v>
      </c>
      <c r="C58" s="74">
        <v>57620.408499999998</v>
      </c>
      <c r="D58" s="74">
        <v>4.0000000000000002E-4</v>
      </c>
      <c r="E58" s="43">
        <f t="shared" si="6"/>
        <v>15409.110493092907</v>
      </c>
      <c r="F58">
        <f t="shared" si="1"/>
        <v>15409</v>
      </c>
      <c r="G58">
        <f>+C58-(C$7+F58*C$8)</f>
        <v>6.5395999998145271E-2</v>
      </c>
      <c r="K58">
        <f>+G58</f>
        <v>6.5395999998145271E-2</v>
      </c>
      <c r="O58">
        <f t="shared" ca="1" si="8"/>
        <v>6.4117740152198566E-2</v>
      </c>
      <c r="Q58" s="2">
        <f t="shared" si="9"/>
        <v>42601.908499999998</v>
      </c>
    </row>
    <row r="59" spans="1:21">
      <c r="A59" s="72" t="s">
        <v>0</v>
      </c>
      <c r="B59" s="73" t="s">
        <v>31</v>
      </c>
      <c r="C59" s="74">
        <v>57624.300499999998</v>
      </c>
      <c r="D59" s="74">
        <v>6.9999999999999999E-4</v>
      </c>
      <c r="E59" s="43">
        <f t="shared" si="6"/>
        <v>15415.686416966282</v>
      </c>
      <c r="F59">
        <f t="shared" si="1"/>
        <v>15415.5</v>
      </c>
      <c r="G59">
        <f>+C59-(C$7+F59*C$8)</f>
        <v>0.11033199999656063</v>
      </c>
      <c r="K59">
        <f>+G59</f>
        <v>0.11033199999656063</v>
      </c>
      <c r="O59">
        <f t="shared" ca="1" si="8"/>
        <v>6.4145556801478307E-2</v>
      </c>
      <c r="Q59" s="2">
        <f t="shared" si="9"/>
        <v>42605.800499999998</v>
      </c>
    </row>
    <row r="60" spans="1:21">
      <c r="A60" s="72" t="s">
        <v>0</v>
      </c>
      <c r="B60" s="73" t="s">
        <v>26</v>
      </c>
      <c r="C60" s="74">
        <v>57632.289100000002</v>
      </c>
      <c r="D60" s="74">
        <v>5.9999999999999995E-4</v>
      </c>
      <c r="E60" s="43">
        <f t="shared" si="6"/>
        <v>15429.183956908437</v>
      </c>
      <c r="F60">
        <f t="shared" si="1"/>
        <v>15429</v>
      </c>
      <c r="G60">
        <f>+C60-(C$7+F60*C$8)</f>
        <v>0.10887599999841768</v>
      </c>
      <c r="K60">
        <f>+G60</f>
        <v>0.10887599999841768</v>
      </c>
      <c r="O60">
        <f t="shared" ca="1" si="8"/>
        <v>6.4203329842290074E-2</v>
      </c>
      <c r="Q60" s="2">
        <f t="shared" si="9"/>
        <v>42613.789100000002</v>
      </c>
    </row>
    <row r="61" spans="1:21">
      <c r="A61" s="75" t="s">
        <v>177</v>
      </c>
      <c r="B61" s="76" t="s">
        <v>26</v>
      </c>
      <c r="C61" s="77">
        <v>58043.57918999996</v>
      </c>
      <c r="D61" s="77">
        <v>8.0000000000000004E-4</v>
      </c>
      <c r="E61" s="43">
        <f>+(C61-C$7)/C$8</f>
        <v>16124.099764131746</v>
      </c>
      <c r="F61">
        <f t="shared" si="1"/>
        <v>16124</v>
      </c>
      <c r="G61">
        <f>+C61-(C$7+F61*C$8)</f>
        <v>5.9045999958470929E-2</v>
      </c>
      <c r="K61">
        <f>+G61</f>
        <v>5.9045999958470929E-2</v>
      </c>
      <c r="O61">
        <f ca="1">+C$11+C$12*$F61</f>
        <v>6.7177571572969871E-2</v>
      </c>
      <c r="Q61" s="2">
        <f>+C61-15018.5</f>
        <v>43025.07918999996</v>
      </c>
    </row>
  </sheetData>
  <protectedRanges>
    <protectedRange sqref="A61:D61" name="Range1"/>
  </protectedRanges>
  <phoneticPr fontId="8" type="noConversion"/>
  <hyperlinks>
    <hyperlink ref="H91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workbookViewId="0">
      <selection activeCell="A31" sqref="A31:D37"/>
    </sheetView>
  </sheetViews>
  <sheetFormatPr defaultRowHeight="12.75"/>
  <cols>
    <col min="1" max="1" width="19.7109375" style="13" customWidth="1"/>
    <col min="2" max="2" width="4.42578125" style="18" customWidth="1"/>
    <col min="3" max="3" width="12.7109375" style="13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3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51" t="s">
        <v>53</v>
      </c>
      <c r="I1" s="52" t="s">
        <v>54</v>
      </c>
      <c r="J1" s="53" t="s">
        <v>55</v>
      </c>
    </row>
    <row r="2" spans="1:16">
      <c r="I2" s="54" t="s">
        <v>56</v>
      </c>
      <c r="J2" s="55" t="s">
        <v>57</v>
      </c>
    </row>
    <row r="3" spans="1:16">
      <c r="A3" s="56" t="s">
        <v>58</v>
      </c>
      <c r="I3" s="54" t="s">
        <v>59</v>
      </c>
      <c r="J3" s="55" t="s">
        <v>60</v>
      </c>
    </row>
    <row r="4" spans="1:16">
      <c r="I4" s="54" t="s">
        <v>61</v>
      </c>
      <c r="J4" s="55" t="s">
        <v>60</v>
      </c>
    </row>
    <row r="5" spans="1:16" ht="13.5" thickBot="1">
      <c r="I5" s="57" t="s">
        <v>62</v>
      </c>
      <c r="J5" s="58" t="s">
        <v>63</v>
      </c>
    </row>
    <row r="10" spans="1:16" ht="13.5" thickBot="1"/>
    <row r="11" spans="1:16" ht="12.75" customHeight="1" thickBot="1">
      <c r="A11" s="13" t="str">
        <f t="shared" ref="A11:A37" si="0">P11</f>
        <v>IBVS 5330 </v>
      </c>
      <c r="B11" s="14" t="str">
        <f t="shared" ref="B11:B37" si="1">IF(H11=INT(H11),"I","II")</f>
        <v>I</v>
      </c>
      <c r="C11" s="13">
        <f t="shared" ref="C11:C37" si="2">1*G11</f>
        <v>52130.620900000002</v>
      </c>
      <c r="D11" s="18" t="str">
        <f t="shared" ref="D11:D37" si="3">VLOOKUP(F11,I$1:J$5,2,FALSE)</f>
        <v>vis</v>
      </c>
      <c r="E11" s="59">
        <f>VLOOKUP(C11,Active!C$21:E$973,3,FALSE)</f>
        <v>6133.5644143169966</v>
      </c>
      <c r="F11" s="14" t="s">
        <v>62</v>
      </c>
      <c r="G11" s="18" t="str">
        <f t="shared" ref="G11:G37" si="4">MID(I11,3,LEN(I11)-3)</f>
        <v>52130.6209</v>
      </c>
      <c r="H11" s="13">
        <f t="shared" ref="H11:H37" si="5">1*K11</f>
        <v>-625</v>
      </c>
      <c r="I11" s="60" t="s">
        <v>64</v>
      </c>
      <c r="J11" s="61" t="s">
        <v>65</v>
      </c>
      <c r="K11" s="60">
        <v>-625</v>
      </c>
      <c r="L11" s="60" t="s">
        <v>66</v>
      </c>
      <c r="M11" s="61" t="s">
        <v>67</v>
      </c>
      <c r="N11" s="61" t="s">
        <v>68</v>
      </c>
      <c r="O11" s="62" t="s">
        <v>69</v>
      </c>
      <c r="P11" s="63" t="s">
        <v>70</v>
      </c>
    </row>
    <row r="12" spans="1:16" ht="12.75" customHeight="1" thickBot="1">
      <c r="A12" s="13" t="str">
        <f t="shared" si="0"/>
        <v>IBVS 5623 </v>
      </c>
      <c r="B12" s="14" t="str">
        <f t="shared" si="1"/>
        <v>II</v>
      </c>
      <c r="C12" s="13">
        <f t="shared" si="2"/>
        <v>52137.4133</v>
      </c>
      <c r="D12" s="18" t="str">
        <f t="shared" si="3"/>
        <v>vis</v>
      </c>
      <c r="E12" s="59">
        <f>VLOOKUP(C12,Active!C$21:E$973,3,FALSE)</f>
        <v>6145.0408545321816</v>
      </c>
      <c r="F12" s="14" t="s">
        <v>62</v>
      </c>
      <c r="G12" s="18" t="str">
        <f t="shared" si="4"/>
        <v>52137.4133</v>
      </c>
      <c r="H12" s="13">
        <f t="shared" si="5"/>
        <v>-613.5</v>
      </c>
      <c r="I12" s="60" t="s">
        <v>71</v>
      </c>
      <c r="J12" s="61" t="s">
        <v>72</v>
      </c>
      <c r="K12" s="60">
        <v>-613.5</v>
      </c>
      <c r="L12" s="60" t="s">
        <v>73</v>
      </c>
      <c r="M12" s="61" t="s">
        <v>67</v>
      </c>
      <c r="N12" s="61" t="s">
        <v>68</v>
      </c>
      <c r="O12" s="62" t="s">
        <v>74</v>
      </c>
      <c r="P12" s="63" t="s">
        <v>75</v>
      </c>
    </row>
    <row r="13" spans="1:16" ht="12.75" customHeight="1" thickBot="1">
      <c r="A13" s="13" t="str">
        <f t="shared" si="0"/>
        <v>IBVS 5623 </v>
      </c>
      <c r="B13" s="14" t="str">
        <f t="shared" si="1"/>
        <v>I</v>
      </c>
      <c r="C13" s="13">
        <f t="shared" si="2"/>
        <v>52139.495600000002</v>
      </c>
      <c r="D13" s="18" t="str">
        <f t="shared" si="3"/>
        <v>vis</v>
      </c>
      <c r="E13" s="59">
        <f>VLOOKUP(C13,Active!C$21:E$973,3,FALSE)</f>
        <v>6148.5591089724539</v>
      </c>
      <c r="F13" s="14" t="s">
        <v>62</v>
      </c>
      <c r="G13" s="18" t="str">
        <f t="shared" si="4"/>
        <v>52139.4956</v>
      </c>
      <c r="H13" s="13">
        <f t="shared" si="5"/>
        <v>-610</v>
      </c>
      <c r="I13" s="60" t="s">
        <v>76</v>
      </c>
      <c r="J13" s="61" t="s">
        <v>77</v>
      </c>
      <c r="K13" s="60">
        <v>-610</v>
      </c>
      <c r="L13" s="60" t="s">
        <v>78</v>
      </c>
      <c r="M13" s="61" t="s">
        <v>67</v>
      </c>
      <c r="N13" s="61" t="s">
        <v>68</v>
      </c>
      <c r="O13" s="62" t="s">
        <v>74</v>
      </c>
      <c r="P13" s="63" t="s">
        <v>75</v>
      </c>
    </row>
    <row r="14" spans="1:16" ht="12.75" customHeight="1" thickBot="1">
      <c r="A14" s="13" t="str">
        <f t="shared" si="0"/>
        <v>IBVS 5330 </v>
      </c>
      <c r="B14" s="14" t="str">
        <f t="shared" si="1"/>
        <v>I</v>
      </c>
      <c r="C14" s="13">
        <f t="shared" si="2"/>
        <v>52149.5576</v>
      </c>
      <c r="D14" s="18" t="str">
        <f t="shared" si="3"/>
        <v>vis</v>
      </c>
      <c r="E14" s="59">
        <f>VLOOKUP(C14,Active!C$21:E$973,3,FALSE)</f>
        <v>6165.5598659133284</v>
      </c>
      <c r="F14" s="14" t="s">
        <v>62</v>
      </c>
      <c r="G14" s="18" t="str">
        <f t="shared" si="4"/>
        <v>52149.5576</v>
      </c>
      <c r="H14" s="13">
        <f t="shared" si="5"/>
        <v>-593</v>
      </c>
      <c r="I14" s="60" t="s">
        <v>79</v>
      </c>
      <c r="J14" s="61" t="s">
        <v>80</v>
      </c>
      <c r="K14" s="60">
        <v>-593</v>
      </c>
      <c r="L14" s="60" t="s">
        <v>81</v>
      </c>
      <c r="M14" s="61" t="s">
        <v>67</v>
      </c>
      <c r="N14" s="61" t="s">
        <v>68</v>
      </c>
      <c r="O14" s="62" t="s">
        <v>69</v>
      </c>
      <c r="P14" s="63" t="s">
        <v>70</v>
      </c>
    </row>
    <row r="15" spans="1:16" ht="12.75" customHeight="1" thickBot="1">
      <c r="A15" s="13" t="str">
        <f t="shared" si="0"/>
        <v>IBVS 5330 </v>
      </c>
      <c r="B15" s="14" t="str">
        <f t="shared" si="1"/>
        <v>I</v>
      </c>
      <c r="C15" s="13">
        <f t="shared" si="2"/>
        <v>52171.455399999999</v>
      </c>
      <c r="D15" s="18" t="str">
        <f t="shared" si="3"/>
        <v>vis</v>
      </c>
      <c r="E15" s="59">
        <f>VLOOKUP(C15,Active!C$21:E$973,3,FALSE)</f>
        <v>6202.5583925819756</v>
      </c>
      <c r="F15" s="14" t="s">
        <v>62</v>
      </c>
      <c r="G15" s="18" t="str">
        <f t="shared" si="4"/>
        <v>52171.4554</v>
      </c>
      <c r="H15" s="13">
        <f t="shared" si="5"/>
        <v>-556</v>
      </c>
      <c r="I15" s="60" t="s">
        <v>82</v>
      </c>
      <c r="J15" s="61" t="s">
        <v>83</v>
      </c>
      <c r="K15" s="60">
        <v>-556</v>
      </c>
      <c r="L15" s="60" t="s">
        <v>84</v>
      </c>
      <c r="M15" s="61" t="s">
        <v>67</v>
      </c>
      <c r="N15" s="61" t="s">
        <v>68</v>
      </c>
      <c r="O15" s="62" t="s">
        <v>69</v>
      </c>
      <c r="P15" s="63" t="s">
        <v>70</v>
      </c>
    </row>
    <row r="16" spans="1:16" ht="12.75" customHeight="1" thickBot="1">
      <c r="A16" s="13" t="str">
        <f t="shared" si="0"/>
        <v>IBVS 5623 </v>
      </c>
      <c r="B16" s="14" t="str">
        <f t="shared" si="1"/>
        <v>II</v>
      </c>
      <c r="C16" s="13">
        <f t="shared" si="2"/>
        <v>52182.386599999998</v>
      </c>
      <c r="D16" s="18" t="str">
        <f t="shared" si="3"/>
        <v>vis</v>
      </c>
      <c r="E16" s="59">
        <f>VLOOKUP(C16,Active!C$21:E$973,3,FALSE)</f>
        <v>6221.0277499932363</v>
      </c>
      <c r="F16" s="14" t="s">
        <v>62</v>
      </c>
      <c r="G16" s="18" t="str">
        <f t="shared" si="4"/>
        <v>52182.3866</v>
      </c>
      <c r="H16" s="13">
        <f t="shared" si="5"/>
        <v>-537.5</v>
      </c>
      <c r="I16" s="60" t="s">
        <v>85</v>
      </c>
      <c r="J16" s="61" t="s">
        <v>86</v>
      </c>
      <c r="K16" s="60">
        <v>-537.5</v>
      </c>
      <c r="L16" s="60" t="s">
        <v>87</v>
      </c>
      <c r="M16" s="61" t="s">
        <v>67</v>
      </c>
      <c r="N16" s="61" t="s">
        <v>68</v>
      </c>
      <c r="O16" s="62" t="s">
        <v>74</v>
      </c>
      <c r="P16" s="63" t="s">
        <v>75</v>
      </c>
    </row>
    <row r="17" spans="1:16" ht="12.75" customHeight="1" thickBot="1">
      <c r="A17" s="13" t="str">
        <f t="shared" si="0"/>
        <v>IBVS 5330 </v>
      </c>
      <c r="B17" s="14" t="str">
        <f t="shared" si="1"/>
        <v>I</v>
      </c>
      <c r="C17" s="13">
        <f t="shared" si="2"/>
        <v>52187.432099999998</v>
      </c>
      <c r="D17" s="18" t="str">
        <f t="shared" si="3"/>
        <v>vis</v>
      </c>
      <c r="E17" s="59">
        <f>VLOOKUP(C17,Active!C$21:E$973,3,FALSE)</f>
        <v>6229.552627666184</v>
      </c>
      <c r="F17" s="14" t="s">
        <v>62</v>
      </c>
      <c r="G17" s="18" t="str">
        <f t="shared" si="4"/>
        <v>52187.4321</v>
      </c>
      <c r="H17" s="13">
        <f t="shared" si="5"/>
        <v>-529</v>
      </c>
      <c r="I17" s="60" t="s">
        <v>88</v>
      </c>
      <c r="J17" s="61" t="s">
        <v>89</v>
      </c>
      <c r="K17" s="60">
        <v>-529</v>
      </c>
      <c r="L17" s="60" t="s">
        <v>90</v>
      </c>
      <c r="M17" s="61" t="s">
        <v>67</v>
      </c>
      <c r="N17" s="61" t="s">
        <v>68</v>
      </c>
      <c r="O17" s="62" t="s">
        <v>69</v>
      </c>
      <c r="P17" s="63" t="s">
        <v>70</v>
      </c>
    </row>
    <row r="18" spans="1:16" ht="12.75" customHeight="1" thickBot="1">
      <c r="A18" s="13" t="str">
        <f t="shared" si="0"/>
        <v>IBVS 5623 </v>
      </c>
      <c r="B18" s="14" t="str">
        <f t="shared" si="1"/>
        <v>II</v>
      </c>
      <c r="C18" s="13">
        <f t="shared" si="2"/>
        <v>52195.414599999996</v>
      </c>
      <c r="D18" s="18" t="str">
        <f t="shared" si="3"/>
        <v>vis</v>
      </c>
      <c r="E18" s="59">
        <f>VLOOKUP(C18,Active!C$21:E$973,3,FALSE)</f>
        <v>6243.039861047273</v>
      </c>
      <c r="F18" s="14" t="s">
        <v>62</v>
      </c>
      <c r="G18" s="18" t="str">
        <f t="shared" si="4"/>
        <v>52195.4146</v>
      </c>
      <c r="H18" s="13">
        <f t="shared" si="5"/>
        <v>-515.5</v>
      </c>
      <c r="I18" s="60" t="s">
        <v>91</v>
      </c>
      <c r="J18" s="61" t="s">
        <v>92</v>
      </c>
      <c r="K18" s="60">
        <v>-515.5</v>
      </c>
      <c r="L18" s="60" t="s">
        <v>93</v>
      </c>
      <c r="M18" s="61" t="s">
        <v>67</v>
      </c>
      <c r="N18" s="61" t="s">
        <v>68</v>
      </c>
      <c r="O18" s="62" t="s">
        <v>74</v>
      </c>
      <c r="P18" s="63" t="s">
        <v>75</v>
      </c>
    </row>
    <row r="19" spans="1:16" ht="12.75" customHeight="1" thickBot="1">
      <c r="A19" s="13" t="str">
        <f t="shared" si="0"/>
        <v>IBVS 5623 </v>
      </c>
      <c r="B19" s="14" t="str">
        <f t="shared" si="1"/>
        <v>I</v>
      </c>
      <c r="C19" s="13">
        <f t="shared" si="2"/>
        <v>52477.429100000001</v>
      </c>
      <c r="D19" s="18" t="str">
        <f t="shared" si="3"/>
        <v>vis</v>
      </c>
      <c r="E19" s="59">
        <f>VLOOKUP(C19,Active!C$21:E$973,3,FALSE)</f>
        <v>6719.5316090400365</v>
      </c>
      <c r="F19" s="14" t="s">
        <v>62</v>
      </c>
      <c r="G19" s="18" t="str">
        <f t="shared" si="4"/>
        <v>52477.4291</v>
      </c>
      <c r="H19" s="13">
        <f t="shared" si="5"/>
        <v>-39</v>
      </c>
      <c r="I19" s="60" t="s">
        <v>94</v>
      </c>
      <c r="J19" s="61" t="s">
        <v>95</v>
      </c>
      <c r="K19" s="60">
        <v>-39</v>
      </c>
      <c r="L19" s="60" t="s">
        <v>96</v>
      </c>
      <c r="M19" s="61" t="s">
        <v>67</v>
      </c>
      <c r="N19" s="61" t="s">
        <v>68</v>
      </c>
      <c r="O19" s="62" t="s">
        <v>74</v>
      </c>
      <c r="P19" s="63" t="s">
        <v>75</v>
      </c>
    </row>
    <row r="20" spans="1:16" ht="12.75" customHeight="1" thickBot="1">
      <c r="A20" s="13" t="str">
        <f t="shared" si="0"/>
        <v>IBVS 5623 </v>
      </c>
      <c r="B20" s="14" t="str">
        <f t="shared" si="1"/>
        <v>II</v>
      </c>
      <c r="C20" s="13">
        <f t="shared" si="2"/>
        <v>52482.462399999997</v>
      </c>
      <c r="D20" s="18" t="str">
        <f t="shared" si="3"/>
        <v>vis</v>
      </c>
      <c r="E20" s="59">
        <f>VLOOKUP(C20,Active!C$21:E$973,3,FALSE)</f>
        <v>6728.0358735908658</v>
      </c>
      <c r="F20" s="14" t="s">
        <v>62</v>
      </c>
      <c r="G20" s="18" t="str">
        <f t="shared" si="4"/>
        <v>52482.4624</v>
      </c>
      <c r="H20" s="13">
        <f t="shared" si="5"/>
        <v>-30.5</v>
      </c>
      <c r="I20" s="60" t="s">
        <v>97</v>
      </c>
      <c r="J20" s="61" t="s">
        <v>98</v>
      </c>
      <c r="K20" s="60">
        <v>-30.5</v>
      </c>
      <c r="L20" s="60" t="s">
        <v>99</v>
      </c>
      <c r="M20" s="61" t="s">
        <v>67</v>
      </c>
      <c r="N20" s="61" t="s">
        <v>68</v>
      </c>
      <c r="O20" s="62" t="s">
        <v>74</v>
      </c>
      <c r="P20" s="63" t="s">
        <v>75</v>
      </c>
    </row>
    <row r="21" spans="1:16" ht="12.75" customHeight="1" thickBot="1">
      <c r="A21" s="13" t="str">
        <f t="shared" si="0"/>
        <v>IBVS 5588 </v>
      </c>
      <c r="B21" s="14" t="str">
        <f t="shared" si="1"/>
        <v>II</v>
      </c>
      <c r="C21" s="13">
        <f t="shared" si="2"/>
        <v>53229.403899999998</v>
      </c>
      <c r="D21" s="18" t="str">
        <f t="shared" si="3"/>
        <v>vis</v>
      </c>
      <c r="E21" s="59">
        <f>VLOOKUP(C21,Active!C$21:E$973,3,FALSE)</f>
        <v>7990.0683612229932</v>
      </c>
      <c r="F21" s="14" t="s">
        <v>62</v>
      </c>
      <c r="G21" s="18" t="str">
        <f t="shared" si="4"/>
        <v>53229.4039</v>
      </c>
      <c r="H21" s="13">
        <f t="shared" si="5"/>
        <v>1231.5</v>
      </c>
      <c r="I21" s="60" t="s">
        <v>100</v>
      </c>
      <c r="J21" s="61" t="s">
        <v>101</v>
      </c>
      <c r="K21" s="60">
        <v>1231.5</v>
      </c>
      <c r="L21" s="60" t="s">
        <v>102</v>
      </c>
      <c r="M21" s="61" t="s">
        <v>67</v>
      </c>
      <c r="N21" s="61" t="s">
        <v>103</v>
      </c>
      <c r="O21" s="62" t="s">
        <v>104</v>
      </c>
      <c r="P21" s="63" t="s">
        <v>105</v>
      </c>
    </row>
    <row r="22" spans="1:16" ht="12.75" customHeight="1" thickBot="1">
      <c r="A22" s="13" t="str">
        <f t="shared" si="0"/>
        <v>IBVS 5649 </v>
      </c>
      <c r="B22" s="14" t="str">
        <f t="shared" si="1"/>
        <v>II</v>
      </c>
      <c r="C22" s="13">
        <f t="shared" si="2"/>
        <v>53580.358999999997</v>
      </c>
      <c r="D22" s="18" t="str">
        <f t="shared" si="3"/>
        <v>vis</v>
      </c>
      <c r="E22" s="59">
        <f>VLOOKUP(C22,Active!C$21:E$973,3,FALSE)</f>
        <v>8583.0421589035086</v>
      </c>
      <c r="F22" s="14" t="s">
        <v>62</v>
      </c>
      <c r="G22" s="18" t="str">
        <f t="shared" si="4"/>
        <v>53580.3590</v>
      </c>
      <c r="H22" s="13">
        <f t="shared" si="5"/>
        <v>1824.5</v>
      </c>
      <c r="I22" s="60" t="s">
        <v>106</v>
      </c>
      <c r="J22" s="61" t="s">
        <v>107</v>
      </c>
      <c r="K22" s="60">
        <v>1824.5</v>
      </c>
      <c r="L22" s="60" t="s">
        <v>108</v>
      </c>
      <c r="M22" s="61" t="s">
        <v>67</v>
      </c>
      <c r="N22" s="61" t="s">
        <v>103</v>
      </c>
      <c r="O22" s="62" t="s">
        <v>109</v>
      </c>
      <c r="P22" s="63" t="s">
        <v>110</v>
      </c>
    </row>
    <row r="23" spans="1:16" ht="12.75" customHeight="1" thickBot="1">
      <c r="A23" s="13" t="str">
        <f t="shared" si="0"/>
        <v>BAVM 178 </v>
      </c>
      <c r="B23" s="14" t="str">
        <f t="shared" si="1"/>
        <v>II</v>
      </c>
      <c r="C23" s="13">
        <f t="shared" si="2"/>
        <v>53600.488400000002</v>
      </c>
      <c r="D23" s="18" t="str">
        <f t="shared" si="3"/>
        <v>vis</v>
      </c>
      <c r="E23" s="59">
        <f>VLOOKUP(C23,Active!C$21:E$973,3,FALSE)</f>
        <v>8617.0527966262071</v>
      </c>
      <c r="F23" s="14" t="s">
        <v>62</v>
      </c>
      <c r="G23" s="18" t="str">
        <f t="shared" si="4"/>
        <v>53600.4884</v>
      </c>
      <c r="H23" s="13">
        <f t="shared" si="5"/>
        <v>1858.5</v>
      </c>
      <c r="I23" s="60" t="s">
        <v>111</v>
      </c>
      <c r="J23" s="61" t="s">
        <v>112</v>
      </c>
      <c r="K23" s="60">
        <v>1858.5</v>
      </c>
      <c r="L23" s="60" t="s">
        <v>113</v>
      </c>
      <c r="M23" s="61" t="s">
        <v>114</v>
      </c>
      <c r="N23" s="61" t="s">
        <v>115</v>
      </c>
      <c r="O23" s="62" t="s">
        <v>116</v>
      </c>
      <c r="P23" s="63" t="s">
        <v>117</v>
      </c>
    </row>
    <row r="24" spans="1:16" ht="12.75" customHeight="1" thickBot="1">
      <c r="A24" s="13" t="str">
        <f t="shared" si="0"/>
        <v>IBVS 5677 </v>
      </c>
      <c r="B24" s="14" t="str">
        <f t="shared" si="1"/>
        <v>I</v>
      </c>
      <c r="C24" s="13">
        <f t="shared" si="2"/>
        <v>53628.600299999998</v>
      </c>
      <c r="D24" s="18" t="str">
        <f t="shared" si="3"/>
        <v>vis</v>
      </c>
      <c r="E24" s="59">
        <f>VLOOKUP(C24,Active!C$21:E$973,3,FALSE)</f>
        <v>8664.5506677299836</v>
      </c>
      <c r="F24" s="14" t="s">
        <v>62</v>
      </c>
      <c r="G24" s="18" t="str">
        <f t="shared" si="4"/>
        <v>53628.6003</v>
      </c>
      <c r="H24" s="13">
        <f t="shared" si="5"/>
        <v>1906</v>
      </c>
      <c r="I24" s="60" t="s">
        <v>118</v>
      </c>
      <c r="J24" s="61" t="s">
        <v>119</v>
      </c>
      <c r="K24" s="60">
        <v>1906</v>
      </c>
      <c r="L24" s="60" t="s">
        <v>120</v>
      </c>
      <c r="M24" s="61" t="s">
        <v>67</v>
      </c>
      <c r="N24" s="61" t="s">
        <v>103</v>
      </c>
      <c r="O24" s="62" t="s">
        <v>121</v>
      </c>
      <c r="P24" s="63" t="s">
        <v>122</v>
      </c>
    </row>
    <row r="25" spans="1:16" ht="12.75" customHeight="1" thickBot="1">
      <c r="A25" s="13" t="str">
        <f t="shared" si="0"/>
        <v>IBVS 5887 </v>
      </c>
      <c r="B25" s="14" t="str">
        <f t="shared" si="1"/>
        <v>II</v>
      </c>
      <c r="C25" s="13">
        <f t="shared" si="2"/>
        <v>54414.296600000001</v>
      </c>
      <c r="D25" s="18" t="str">
        <f t="shared" si="3"/>
        <v>vis</v>
      </c>
      <c r="E25" s="59">
        <f>VLOOKUP(C25,Active!C$21:E$973,3,FALSE)</f>
        <v>9992.0632721472793</v>
      </c>
      <c r="F25" s="14" t="s">
        <v>62</v>
      </c>
      <c r="G25" s="18" t="str">
        <f t="shared" si="4"/>
        <v>54414.2966</v>
      </c>
      <c r="H25" s="13">
        <f t="shared" si="5"/>
        <v>3233.5</v>
      </c>
      <c r="I25" s="60" t="s">
        <v>149</v>
      </c>
      <c r="J25" s="61" t="s">
        <v>150</v>
      </c>
      <c r="K25" s="60">
        <v>3233.5</v>
      </c>
      <c r="L25" s="60" t="s">
        <v>151</v>
      </c>
      <c r="M25" s="61" t="s">
        <v>67</v>
      </c>
      <c r="N25" s="61" t="s">
        <v>152</v>
      </c>
      <c r="O25" s="62" t="s">
        <v>153</v>
      </c>
      <c r="P25" s="63" t="s">
        <v>154</v>
      </c>
    </row>
    <row r="26" spans="1:16" ht="12.75" customHeight="1" thickBot="1">
      <c r="A26" s="13" t="str">
        <f t="shared" si="0"/>
        <v>IBVS 5887 </v>
      </c>
      <c r="B26" s="14" t="str">
        <f t="shared" si="1"/>
        <v>I</v>
      </c>
      <c r="C26" s="13">
        <f t="shared" si="2"/>
        <v>54674.405599999998</v>
      </c>
      <c r="D26" s="18" t="str">
        <f t="shared" si="3"/>
        <v>vis</v>
      </c>
      <c r="E26" s="59">
        <f>VLOOKUP(C26,Active!C$21:E$973,3,FALSE)</f>
        <v>10431.543483550047</v>
      </c>
      <c r="F26" s="14" t="s">
        <v>62</v>
      </c>
      <c r="G26" s="18" t="str">
        <f t="shared" si="4"/>
        <v>54674.4056</v>
      </c>
      <c r="H26" s="13">
        <f t="shared" si="5"/>
        <v>3673</v>
      </c>
      <c r="I26" s="60" t="s">
        <v>155</v>
      </c>
      <c r="J26" s="61" t="s">
        <v>156</v>
      </c>
      <c r="K26" s="60">
        <v>3673</v>
      </c>
      <c r="L26" s="60" t="s">
        <v>157</v>
      </c>
      <c r="M26" s="61" t="s">
        <v>67</v>
      </c>
      <c r="N26" s="61" t="s">
        <v>152</v>
      </c>
      <c r="O26" s="62" t="s">
        <v>158</v>
      </c>
      <c r="P26" s="63" t="s">
        <v>154</v>
      </c>
    </row>
    <row r="27" spans="1:16" ht="12.75" customHeight="1" thickBot="1">
      <c r="A27" s="13" t="str">
        <f t="shared" si="0"/>
        <v>IBVS 5887 </v>
      </c>
      <c r="B27" s="14" t="str">
        <f t="shared" si="1"/>
        <v>II</v>
      </c>
      <c r="C27" s="13">
        <f t="shared" si="2"/>
        <v>54679.449800000002</v>
      </c>
      <c r="D27" s="18" t="str">
        <f t="shared" si="3"/>
        <v>vis</v>
      </c>
      <c r="E27" s="59">
        <f>VLOOKUP(C27,Active!C$21:E$973,3,FALSE)</f>
        <v>10440.066164742777</v>
      </c>
      <c r="F27" s="14" t="s">
        <v>62</v>
      </c>
      <c r="G27" s="18" t="str">
        <f t="shared" si="4"/>
        <v>54679.4498</v>
      </c>
      <c r="H27" s="13">
        <f t="shared" si="5"/>
        <v>3681.5</v>
      </c>
      <c r="I27" s="60" t="s">
        <v>159</v>
      </c>
      <c r="J27" s="61" t="s">
        <v>160</v>
      </c>
      <c r="K27" s="60">
        <v>3681.5</v>
      </c>
      <c r="L27" s="60" t="s">
        <v>161</v>
      </c>
      <c r="M27" s="61" t="s">
        <v>67</v>
      </c>
      <c r="N27" s="61" t="s">
        <v>152</v>
      </c>
      <c r="O27" s="62" t="s">
        <v>162</v>
      </c>
      <c r="P27" s="63" t="s">
        <v>154</v>
      </c>
    </row>
    <row r="28" spans="1:16" ht="12.75" customHeight="1" thickBot="1">
      <c r="A28" s="13" t="str">
        <f t="shared" si="0"/>
        <v>IBVS 5887 </v>
      </c>
      <c r="B28" s="14" t="str">
        <f t="shared" si="1"/>
        <v>I</v>
      </c>
      <c r="C28" s="13">
        <f t="shared" si="2"/>
        <v>54693.359400000001</v>
      </c>
      <c r="D28" s="18" t="str">
        <f t="shared" si="3"/>
        <v>vis</v>
      </c>
      <c r="E28" s="59">
        <f>VLOOKUP(C28,Active!C$21:E$973,3,FALSE)</f>
        <v>10463.567827309345</v>
      </c>
      <c r="F28" s="14" t="s">
        <v>62</v>
      </c>
      <c r="G28" s="18" t="str">
        <f t="shared" si="4"/>
        <v>54693.3594</v>
      </c>
      <c r="H28" s="13">
        <f t="shared" si="5"/>
        <v>3705</v>
      </c>
      <c r="I28" s="60" t="s">
        <v>163</v>
      </c>
      <c r="J28" s="61" t="s">
        <v>164</v>
      </c>
      <c r="K28" s="60">
        <v>3705</v>
      </c>
      <c r="L28" s="60" t="s">
        <v>165</v>
      </c>
      <c r="M28" s="61" t="s">
        <v>67</v>
      </c>
      <c r="N28" s="61" t="s">
        <v>152</v>
      </c>
      <c r="O28" s="62" t="s">
        <v>166</v>
      </c>
      <c r="P28" s="63" t="s">
        <v>154</v>
      </c>
    </row>
    <row r="29" spans="1:16" ht="12.75" customHeight="1" thickBot="1">
      <c r="A29" s="13" t="str">
        <f t="shared" si="0"/>
        <v>IBVS 5887 </v>
      </c>
      <c r="B29" s="14" t="str">
        <f t="shared" si="1"/>
        <v>II</v>
      </c>
      <c r="C29" s="13">
        <f t="shared" si="2"/>
        <v>54759.344100000002</v>
      </c>
      <c r="D29" s="18" t="str">
        <f t="shared" si="3"/>
        <v>vis</v>
      </c>
      <c r="E29" s="59">
        <f>VLOOKUP(C29,Active!C$21:E$973,3,FALSE)</f>
        <v>10575.055587845693</v>
      </c>
      <c r="F29" s="14" t="s">
        <v>62</v>
      </c>
      <c r="G29" s="18" t="str">
        <f t="shared" si="4"/>
        <v>54759.3441</v>
      </c>
      <c r="H29" s="13">
        <f t="shared" si="5"/>
        <v>3816.5</v>
      </c>
      <c r="I29" s="60" t="s">
        <v>167</v>
      </c>
      <c r="J29" s="61" t="s">
        <v>168</v>
      </c>
      <c r="K29" s="60">
        <v>3816.5</v>
      </c>
      <c r="L29" s="60" t="s">
        <v>169</v>
      </c>
      <c r="M29" s="61" t="s">
        <v>67</v>
      </c>
      <c r="N29" s="61" t="s">
        <v>152</v>
      </c>
      <c r="O29" s="62" t="s">
        <v>170</v>
      </c>
      <c r="P29" s="63" t="s">
        <v>154</v>
      </c>
    </row>
    <row r="30" spans="1:16" ht="12.75" customHeight="1" thickBot="1">
      <c r="A30" s="13" t="str">
        <f t="shared" si="0"/>
        <v>OEJV 0160 </v>
      </c>
      <c r="B30" s="14" t="str">
        <f t="shared" si="1"/>
        <v>II</v>
      </c>
      <c r="C30" s="13">
        <f t="shared" si="2"/>
        <v>55800.431929999999</v>
      </c>
      <c r="D30" s="18" t="str">
        <f t="shared" si="3"/>
        <v>vis</v>
      </c>
      <c r="E30" s="59">
        <f>VLOOKUP(C30,Active!C$21:E$973,3,FALSE)</f>
        <v>12334.077765537559</v>
      </c>
      <c r="F30" s="14" t="s">
        <v>62</v>
      </c>
      <c r="G30" s="18" t="str">
        <f t="shared" si="4"/>
        <v>55800.43193</v>
      </c>
      <c r="H30" s="13">
        <f t="shared" si="5"/>
        <v>5575.5</v>
      </c>
      <c r="I30" s="60" t="s">
        <v>171</v>
      </c>
      <c r="J30" s="61" t="s">
        <v>172</v>
      </c>
      <c r="K30" s="60">
        <v>5575.5</v>
      </c>
      <c r="L30" s="60" t="s">
        <v>173</v>
      </c>
      <c r="M30" s="61" t="s">
        <v>114</v>
      </c>
      <c r="N30" s="61" t="s">
        <v>54</v>
      </c>
      <c r="O30" s="62" t="s">
        <v>174</v>
      </c>
      <c r="P30" s="63" t="s">
        <v>175</v>
      </c>
    </row>
    <row r="31" spans="1:16" ht="12.75" customHeight="1" thickBot="1">
      <c r="A31" s="13" t="str">
        <f t="shared" si="0"/>
        <v>IBVS 5806 </v>
      </c>
      <c r="B31" s="14" t="str">
        <f t="shared" si="1"/>
        <v>II</v>
      </c>
      <c r="C31" s="13">
        <f t="shared" si="2"/>
        <v>53994.666700000002</v>
      </c>
      <c r="D31" s="18" t="str">
        <f t="shared" si="3"/>
        <v>vis</v>
      </c>
      <c r="E31" s="59">
        <f>VLOOKUP(C31,Active!C$21:E$973,3,FALSE)</f>
        <v>9283.0565205049879</v>
      </c>
      <c r="F31" s="14" t="s">
        <v>62</v>
      </c>
      <c r="G31" s="18" t="str">
        <f t="shared" si="4"/>
        <v>53994.6667</v>
      </c>
      <c r="H31" s="13">
        <f t="shared" si="5"/>
        <v>2524.5</v>
      </c>
      <c r="I31" s="60" t="s">
        <v>123</v>
      </c>
      <c r="J31" s="61" t="s">
        <v>124</v>
      </c>
      <c r="K31" s="60">
        <v>2524.5</v>
      </c>
      <c r="L31" s="60" t="s">
        <v>125</v>
      </c>
      <c r="M31" s="61" t="s">
        <v>114</v>
      </c>
      <c r="N31" s="61" t="s">
        <v>115</v>
      </c>
      <c r="O31" s="62" t="s">
        <v>126</v>
      </c>
      <c r="P31" s="63" t="s">
        <v>127</v>
      </c>
    </row>
    <row r="32" spans="1:16" ht="12.75" customHeight="1" thickBot="1">
      <c r="A32" s="13" t="str">
        <f t="shared" si="0"/>
        <v>IBVS 5801 </v>
      </c>
      <c r="B32" s="14" t="str">
        <f t="shared" si="1"/>
        <v>I</v>
      </c>
      <c r="C32" s="13">
        <f t="shared" si="2"/>
        <v>54278.467299999997</v>
      </c>
      <c r="D32" s="18" t="str">
        <f t="shared" si="3"/>
        <v>vis</v>
      </c>
      <c r="E32" s="59">
        <f>VLOOKUP(C32,Active!C$21:E$973,3,FALSE)</f>
        <v>9762.5660633667558</v>
      </c>
      <c r="F32" s="14" t="s">
        <v>62</v>
      </c>
      <c r="G32" s="18" t="str">
        <f t="shared" si="4"/>
        <v>54278.4673</v>
      </c>
      <c r="H32" s="13">
        <f t="shared" si="5"/>
        <v>3004</v>
      </c>
      <c r="I32" s="60" t="s">
        <v>128</v>
      </c>
      <c r="J32" s="61" t="s">
        <v>129</v>
      </c>
      <c r="K32" s="60">
        <v>3004</v>
      </c>
      <c r="L32" s="60" t="s">
        <v>130</v>
      </c>
      <c r="M32" s="61" t="s">
        <v>67</v>
      </c>
      <c r="N32" s="61" t="s">
        <v>131</v>
      </c>
      <c r="O32" s="62" t="s">
        <v>132</v>
      </c>
      <c r="P32" s="63" t="s">
        <v>133</v>
      </c>
    </row>
    <row r="33" spans="1:16" ht="12.75" customHeight="1" thickBot="1">
      <c r="A33" s="13" t="str">
        <f t="shared" si="0"/>
        <v>IBVS 5801 </v>
      </c>
      <c r="B33" s="14" t="str">
        <f t="shared" si="1"/>
        <v>II</v>
      </c>
      <c r="C33" s="13">
        <f t="shared" si="2"/>
        <v>54286.4548</v>
      </c>
      <c r="D33" s="18" t="str">
        <f t="shared" si="3"/>
        <v>vis</v>
      </c>
      <c r="E33" s="59">
        <f>VLOOKUP(C33,Active!C$21:E$973,3,FALSE)</f>
        <v>9776.0617447487184</v>
      </c>
      <c r="F33" s="14" t="s">
        <v>62</v>
      </c>
      <c r="G33" s="18" t="str">
        <f t="shared" si="4"/>
        <v>54286.4548</v>
      </c>
      <c r="H33" s="13">
        <f t="shared" si="5"/>
        <v>3017.5</v>
      </c>
      <c r="I33" s="60" t="s">
        <v>134</v>
      </c>
      <c r="J33" s="61" t="s">
        <v>135</v>
      </c>
      <c r="K33" s="60">
        <v>3017.5</v>
      </c>
      <c r="L33" s="60" t="s">
        <v>136</v>
      </c>
      <c r="M33" s="61" t="s">
        <v>67</v>
      </c>
      <c r="N33" s="61" t="s">
        <v>131</v>
      </c>
      <c r="O33" s="62" t="s">
        <v>132</v>
      </c>
      <c r="P33" s="63" t="s">
        <v>133</v>
      </c>
    </row>
    <row r="34" spans="1:16" ht="12.75" customHeight="1" thickBot="1">
      <c r="A34" s="13" t="str">
        <f t="shared" si="0"/>
        <v>IBVS 5801 </v>
      </c>
      <c r="B34" s="14" t="str">
        <f t="shared" si="1"/>
        <v>I</v>
      </c>
      <c r="C34" s="13">
        <f t="shared" si="2"/>
        <v>54310.433900000004</v>
      </c>
      <c r="D34" s="18" t="str">
        <f t="shared" si="3"/>
        <v>vis</v>
      </c>
      <c r="E34" s="59">
        <f>VLOOKUP(C34,Active!C$21:E$973,3,FALSE)</f>
        <v>9816.5768362574709</v>
      </c>
      <c r="F34" s="14" t="s">
        <v>62</v>
      </c>
      <c r="G34" s="18" t="str">
        <f t="shared" si="4"/>
        <v>54310.4339</v>
      </c>
      <c r="H34" s="13">
        <f t="shared" si="5"/>
        <v>3058</v>
      </c>
      <c r="I34" s="60" t="s">
        <v>137</v>
      </c>
      <c r="J34" s="61" t="s">
        <v>138</v>
      </c>
      <c r="K34" s="60">
        <v>3058</v>
      </c>
      <c r="L34" s="60" t="s">
        <v>139</v>
      </c>
      <c r="M34" s="61" t="s">
        <v>67</v>
      </c>
      <c r="N34" s="61" t="s">
        <v>131</v>
      </c>
      <c r="O34" s="62" t="s">
        <v>132</v>
      </c>
      <c r="P34" s="63" t="s">
        <v>133</v>
      </c>
    </row>
    <row r="35" spans="1:16" ht="12.75" customHeight="1" thickBot="1">
      <c r="A35" s="13" t="str">
        <f t="shared" si="0"/>
        <v>IBVS 5801 </v>
      </c>
      <c r="B35" s="14" t="str">
        <f t="shared" si="1"/>
        <v>II</v>
      </c>
      <c r="C35" s="13">
        <f t="shared" si="2"/>
        <v>54331.426899999999</v>
      </c>
      <c r="D35" s="18" t="str">
        <f t="shared" si="3"/>
        <v>vis</v>
      </c>
      <c r="E35" s="59">
        <f>VLOOKUP(C35,Active!C$21:E$973,3,FALSE)</f>
        <v>9852.0466126895681</v>
      </c>
      <c r="F35" s="14" t="s">
        <v>62</v>
      </c>
      <c r="G35" s="18" t="str">
        <f t="shared" si="4"/>
        <v>54331.4269</v>
      </c>
      <c r="H35" s="13">
        <f t="shared" si="5"/>
        <v>3093.5</v>
      </c>
      <c r="I35" s="60" t="s">
        <v>140</v>
      </c>
      <c r="J35" s="61" t="s">
        <v>141</v>
      </c>
      <c r="K35" s="60">
        <v>3093.5</v>
      </c>
      <c r="L35" s="60" t="s">
        <v>142</v>
      </c>
      <c r="M35" s="61" t="s">
        <v>67</v>
      </c>
      <c r="N35" s="61" t="s">
        <v>131</v>
      </c>
      <c r="O35" s="62" t="s">
        <v>132</v>
      </c>
      <c r="P35" s="63" t="s">
        <v>133</v>
      </c>
    </row>
    <row r="36" spans="1:16" ht="12.75" customHeight="1" thickBot="1">
      <c r="A36" s="13" t="str">
        <f t="shared" si="0"/>
        <v>IBVS 5801 </v>
      </c>
      <c r="B36" s="14" t="str">
        <f t="shared" si="1"/>
        <v>II</v>
      </c>
      <c r="C36" s="13">
        <f t="shared" si="2"/>
        <v>54344.4355</v>
      </c>
      <c r="D36" s="18" t="str">
        <f t="shared" si="3"/>
        <v>vis</v>
      </c>
      <c r="E36" s="59">
        <f>VLOOKUP(C36,Active!C$21:E$973,3,FALSE)</f>
        <v>9874.0259455002542</v>
      </c>
      <c r="F36" s="14" t="s">
        <v>62</v>
      </c>
      <c r="G36" s="18" t="str">
        <f t="shared" si="4"/>
        <v>54344.4355</v>
      </c>
      <c r="H36" s="13">
        <f t="shared" si="5"/>
        <v>3115.5</v>
      </c>
      <c r="I36" s="60" t="s">
        <v>143</v>
      </c>
      <c r="J36" s="61" t="s">
        <v>144</v>
      </c>
      <c r="K36" s="60">
        <v>3115.5</v>
      </c>
      <c r="L36" s="60" t="s">
        <v>145</v>
      </c>
      <c r="M36" s="61" t="s">
        <v>67</v>
      </c>
      <c r="N36" s="61" t="s">
        <v>131</v>
      </c>
      <c r="O36" s="62" t="s">
        <v>132</v>
      </c>
      <c r="P36" s="63" t="s">
        <v>133</v>
      </c>
    </row>
    <row r="37" spans="1:16" ht="12.75" customHeight="1" thickBot="1">
      <c r="A37" s="13" t="str">
        <f t="shared" si="0"/>
        <v>IBVS 5801 </v>
      </c>
      <c r="B37" s="14" t="str">
        <f t="shared" si="1"/>
        <v>II</v>
      </c>
      <c r="C37" s="13">
        <f t="shared" si="2"/>
        <v>54366.352800000001</v>
      </c>
      <c r="D37" s="18" t="str">
        <f t="shared" si="3"/>
        <v>vis</v>
      </c>
      <c r="E37" s="59">
        <f>VLOOKUP(C37,Active!C$21:E$973,3,FALSE)</f>
        <v>9911.0574193722787</v>
      </c>
      <c r="F37" s="14" t="s">
        <v>62</v>
      </c>
      <c r="G37" s="18" t="str">
        <f t="shared" si="4"/>
        <v>54366.3528</v>
      </c>
      <c r="H37" s="13">
        <f t="shared" si="5"/>
        <v>3152.5</v>
      </c>
      <c r="I37" s="60" t="s">
        <v>146</v>
      </c>
      <c r="J37" s="61" t="s">
        <v>147</v>
      </c>
      <c r="K37" s="60">
        <v>3152.5</v>
      </c>
      <c r="L37" s="60" t="s">
        <v>148</v>
      </c>
      <c r="M37" s="61" t="s">
        <v>67</v>
      </c>
      <c r="N37" s="61" t="s">
        <v>131</v>
      </c>
      <c r="O37" s="62" t="s">
        <v>132</v>
      </c>
      <c r="P37" s="63" t="s">
        <v>133</v>
      </c>
    </row>
    <row r="38" spans="1:16">
      <c r="B38" s="14"/>
      <c r="F38" s="14"/>
    </row>
    <row r="39" spans="1:16">
      <c r="B39" s="14"/>
      <c r="F39" s="14"/>
    </row>
    <row r="40" spans="1:16">
      <c r="B40" s="14"/>
      <c r="F40" s="14"/>
    </row>
    <row r="41" spans="1:16">
      <c r="B41" s="14"/>
      <c r="F41" s="14"/>
    </row>
    <row r="42" spans="1:16">
      <c r="B42" s="14"/>
      <c r="F42" s="14"/>
    </row>
    <row r="43" spans="1:16">
      <c r="B43" s="14"/>
      <c r="F43" s="14"/>
    </row>
    <row r="44" spans="1:16">
      <c r="B44" s="14"/>
      <c r="F44" s="14"/>
    </row>
    <row r="45" spans="1:16">
      <c r="B45" s="14"/>
      <c r="F45" s="14"/>
    </row>
    <row r="46" spans="1:16">
      <c r="B46" s="14"/>
      <c r="F46" s="14"/>
    </row>
    <row r="47" spans="1:16">
      <c r="B47" s="14"/>
      <c r="F47" s="14"/>
    </row>
    <row r="48" spans="1:16">
      <c r="B48" s="14"/>
      <c r="F48" s="14"/>
    </row>
    <row r="49" spans="2:6">
      <c r="B49" s="14"/>
      <c r="F49" s="14"/>
    </row>
    <row r="50" spans="2:6">
      <c r="B50" s="14"/>
      <c r="F50" s="14"/>
    </row>
    <row r="51" spans="2:6">
      <c r="B51" s="14"/>
      <c r="F51" s="14"/>
    </row>
    <row r="52" spans="2:6">
      <c r="B52" s="14"/>
      <c r="F52" s="14"/>
    </row>
    <row r="53" spans="2:6">
      <c r="B53" s="14"/>
      <c r="F53" s="14"/>
    </row>
    <row r="54" spans="2:6">
      <c r="B54" s="14"/>
      <c r="F54" s="14"/>
    </row>
    <row r="55" spans="2:6">
      <c r="B55" s="14"/>
      <c r="F55" s="14"/>
    </row>
    <row r="56" spans="2:6">
      <c r="B56" s="14"/>
      <c r="F56" s="14"/>
    </row>
    <row r="57" spans="2:6">
      <c r="B57" s="14"/>
      <c r="F57" s="14"/>
    </row>
    <row r="58" spans="2:6">
      <c r="B58" s="14"/>
      <c r="F58" s="14"/>
    </row>
    <row r="59" spans="2:6">
      <c r="B59" s="14"/>
      <c r="F59" s="14"/>
    </row>
    <row r="60" spans="2:6">
      <c r="B60" s="14"/>
      <c r="F60" s="14"/>
    </row>
    <row r="61" spans="2:6">
      <c r="B61" s="14"/>
      <c r="F61" s="14"/>
    </row>
    <row r="62" spans="2:6">
      <c r="B62" s="14"/>
      <c r="F62" s="14"/>
    </row>
    <row r="63" spans="2:6">
      <c r="B63" s="14"/>
      <c r="F63" s="14"/>
    </row>
    <row r="64" spans="2:6">
      <c r="B64" s="14"/>
      <c r="F64" s="14"/>
    </row>
    <row r="65" spans="2:6">
      <c r="B65" s="14"/>
      <c r="F65" s="14"/>
    </row>
    <row r="66" spans="2:6">
      <c r="B66" s="14"/>
      <c r="F66" s="14"/>
    </row>
    <row r="67" spans="2:6">
      <c r="B67" s="14"/>
      <c r="F67" s="14"/>
    </row>
    <row r="68" spans="2:6">
      <c r="B68" s="14"/>
      <c r="F68" s="14"/>
    </row>
    <row r="69" spans="2:6">
      <c r="B69" s="14"/>
      <c r="F69" s="14"/>
    </row>
    <row r="70" spans="2:6">
      <c r="B70" s="14"/>
      <c r="F70" s="14"/>
    </row>
    <row r="71" spans="2:6">
      <c r="B71" s="14"/>
      <c r="F71" s="14"/>
    </row>
    <row r="72" spans="2:6">
      <c r="B72" s="14"/>
      <c r="F72" s="14"/>
    </row>
    <row r="73" spans="2:6">
      <c r="B73" s="14"/>
      <c r="F73" s="14"/>
    </row>
    <row r="74" spans="2:6">
      <c r="B74" s="14"/>
      <c r="F74" s="14"/>
    </row>
    <row r="75" spans="2:6">
      <c r="B75" s="14"/>
      <c r="F75" s="14"/>
    </row>
    <row r="76" spans="2:6">
      <c r="B76" s="14"/>
      <c r="F76" s="14"/>
    </row>
    <row r="77" spans="2:6">
      <c r="B77" s="14"/>
      <c r="F77" s="14"/>
    </row>
    <row r="78" spans="2:6">
      <c r="B78" s="14"/>
      <c r="F78" s="14"/>
    </row>
    <row r="79" spans="2:6">
      <c r="B79" s="14"/>
      <c r="F79" s="14"/>
    </row>
    <row r="80" spans="2: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</sheetData>
  <phoneticPr fontId="8" type="noConversion"/>
  <hyperlinks>
    <hyperlink ref="P11" r:id="rId1" display="http://www.konkoly.hu/cgi-bin/IBVS?5330"/>
    <hyperlink ref="P12" r:id="rId2" display="http://www.konkoly.hu/cgi-bin/IBVS?5623"/>
    <hyperlink ref="P13" r:id="rId3" display="http://www.konkoly.hu/cgi-bin/IBVS?5623"/>
    <hyperlink ref="P14" r:id="rId4" display="http://www.konkoly.hu/cgi-bin/IBVS?5330"/>
    <hyperlink ref="P15" r:id="rId5" display="http://www.konkoly.hu/cgi-bin/IBVS?5330"/>
    <hyperlink ref="P16" r:id="rId6" display="http://www.konkoly.hu/cgi-bin/IBVS?5623"/>
    <hyperlink ref="P17" r:id="rId7" display="http://www.konkoly.hu/cgi-bin/IBVS?5330"/>
    <hyperlink ref="P18" r:id="rId8" display="http://www.konkoly.hu/cgi-bin/IBVS?5623"/>
    <hyperlink ref="P19" r:id="rId9" display="http://www.konkoly.hu/cgi-bin/IBVS?5623"/>
    <hyperlink ref="P20" r:id="rId10" display="http://www.konkoly.hu/cgi-bin/IBVS?5623"/>
    <hyperlink ref="P21" r:id="rId11" display="http://www.konkoly.hu/cgi-bin/IBVS?5588"/>
    <hyperlink ref="P22" r:id="rId12" display="http://www.konkoly.hu/cgi-bin/IBVS?5649"/>
    <hyperlink ref="P23" r:id="rId13" display="http://www.bav-astro.de/sfs/BAVM_link.php?BAVMnr=178"/>
    <hyperlink ref="P24" r:id="rId14" display="http://www.konkoly.hu/cgi-bin/IBVS?5677"/>
    <hyperlink ref="P31" r:id="rId15" display="http://www.konkoly.hu/cgi-bin/IBVS?5806"/>
    <hyperlink ref="P32" r:id="rId16" display="http://www.konkoly.hu/cgi-bin/IBVS?5801"/>
    <hyperlink ref="P33" r:id="rId17" display="http://www.konkoly.hu/cgi-bin/IBVS?5801"/>
    <hyperlink ref="P34" r:id="rId18" display="http://www.konkoly.hu/cgi-bin/IBVS?5801"/>
    <hyperlink ref="P35" r:id="rId19" display="http://www.konkoly.hu/cgi-bin/IBVS?5801"/>
    <hyperlink ref="P36" r:id="rId20" display="http://www.konkoly.hu/cgi-bin/IBVS?5801"/>
    <hyperlink ref="P37" r:id="rId21" display="http://www.konkoly.hu/cgi-bin/IBVS?5801"/>
    <hyperlink ref="P25" r:id="rId22" display="http://www.konkoly.hu/cgi-bin/IBVS?5887"/>
    <hyperlink ref="P26" r:id="rId23" display="http://www.konkoly.hu/cgi-bin/IBVS?5887"/>
    <hyperlink ref="P27" r:id="rId24" display="http://www.konkoly.hu/cgi-bin/IBVS?5887"/>
    <hyperlink ref="P28" r:id="rId25" display="http://www.konkoly.hu/cgi-bin/IBVS?5887"/>
    <hyperlink ref="P29" r:id="rId26" display="http://www.konkoly.hu/cgi-bin/IBVS?5887"/>
    <hyperlink ref="P30" r:id="rId2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2024-02-06T03:06:08Z</dcterms:modified>
</cp:coreProperties>
</file>