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0D1C42-B355-4556-9B1A-7D616C9D7C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8" i="1" l="1"/>
  <c r="F58" i="1"/>
  <c r="G58" i="1"/>
  <c r="J58" i="1"/>
  <c r="Q58" i="1"/>
  <c r="Q47" i="1"/>
  <c r="E23" i="1"/>
  <c r="F23" i="1"/>
  <c r="G23" i="1"/>
  <c r="K23" i="1"/>
  <c r="E24" i="1"/>
  <c r="F24" i="1"/>
  <c r="G24" i="1"/>
  <c r="K24" i="1"/>
  <c r="E25" i="1"/>
  <c r="F25" i="1"/>
  <c r="G25" i="1"/>
  <c r="K25" i="1"/>
  <c r="E27" i="1"/>
  <c r="F27" i="1"/>
  <c r="G27" i="1"/>
  <c r="K27" i="1"/>
  <c r="E28" i="1"/>
  <c r="F28" i="1"/>
  <c r="G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4" i="1"/>
  <c r="F34" i="1"/>
  <c r="G34" i="1"/>
  <c r="K34" i="1"/>
  <c r="E35" i="1"/>
  <c r="F35" i="1"/>
  <c r="G35" i="1"/>
  <c r="K35" i="1"/>
  <c r="E47" i="1"/>
  <c r="F47" i="1"/>
  <c r="G47" i="1"/>
  <c r="K47" i="1"/>
  <c r="D9" i="1"/>
  <c r="C9" i="1"/>
  <c r="E26" i="1"/>
  <c r="F26" i="1"/>
  <c r="G26" i="1"/>
  <c r="K26" i="1"/>
  <c r="E37" i="1"/>
  <c r="F37" i="1"/>
  <c r="G37" i="1"/>
  <c r="K37" i="1"/>
  <c r="E33" i="1"/>
  <c r="F33" i="1"/>
  <c r="G33" i="1"/>
  <c r="K33" i="1"/>
  <c r="E39" i="1"/>
  <c r="F39" i="1"/>
  <c r="G39" i="1"/>
  <c r="E48" i="1"/>
  <c r="F48" i="1"/>
  <c r="G48" i="1"/>
  <c r="K48" i="1"/>
  <c r="E55" i="1"/>
  <c r="F55" i="1"/>
  <c r="G55" i="1"/>
  <c r="K55" i="1"/>
  <c r="E54" i="1"/>
  <c r="F54" i="1"/>
  <c r="G54" i="1"/>
  <c r="K54" i="1"/>
  <c r="E42" i="1"/>
  <c r="F42" i="1"/>
  <c r="G42" i="1"/>
  <c r="K42" i="1"/>
  <c r="E40" i="1"/>
  <c r="F40" i="1"/>
  <c r="G40" i="1"/>
  <c r="J40" i="1"/>
  <c r="E41" i="1"/>
  <c r="F41" i="1"/>
  <c r="G41" i="1"/>
  <c r="J41" i="1"/>
  <c r="E43" i="1"/>
  <c r="F43" i="1"/>
  <c r="G43" i="1"/>
  <c r="J43" i="1"/>
  <c r="E44" i="1"/>
  <c r="F44" i="1"/>
  <c r="G44" i="1"/>
  <c r="J44" i="1"/>
  <c r="E45" i="1"/>
  <c r="F45" i="1"/>
  <c r="G45" i="1"/>
  <c r="J45" i="1"/>
  <c r="E46" i="1"/>
  <c r="F46" i="1"/>
  <c r="G46" i="1"/>
  <c r="J46" i="1"/>
  <c r="E49" i="1"/>
  <c r="F49" i="1"/>
  <c r="G49" i="1"/>
  <c r="J49" i="1"/>
  <c r="E50" i="1"/>
  <c r="F50" i="1"/>
  <c r="G50" i="1"/>
  <c r="E51" i="1"/>
  <c r="F51" i="1"/>
  <c r="G51" i="1"/>
  <c r="J51" i="1"/>
  <c r="E52" i="1"/>
  <c r="F52" i="1"/>
  <c r="G52" i="1"/>
  <c r="J52" i="1"/>
  <c r="E53" i="1"/>
  <c r="F53" i="1"/>
  <c r="G53" i="1"/>
  <c r="J53" i="1"/>
  <c r="E56" i="1"/>
  <c r="F56" i="1"/>
  <c r="G56" i="1"/>
  <c r="E57" i="1"/>
  <c r="F57" i="1"/>
  <c r="G57" i="1"/>
  <c r="J57" i="1"/>
  <c r="E36" i="1"/>
  <c r="F36" i="1"/>
  <c r="G36" i="1"/>
  <c r="I36" i="1"/>
  <c r="E21" i="1"/>
  <c r="F21" i="1"/>
  <c r="E22" i="1"/>
  <c r="F22" i="1"/>
  <c r="E38" i="1"/>
  <c r="F38" i="1"/>
  <c r="Q35" i="1"/>
  <c r="Q34" i="1"/>
  <c r="Q32" i="1"/>
  <c r="Q31" i="1"/>
  <c r="Q30" i="1"/>
  <c r="Q29" i="1"/>
  <c r="Q28" i="1"/>
  <c r="K28" i="1"/>
  <c r="Q27" i="1"/>
  <c r="Q25" i="1"/>
  <c r="Q24" i="1"/>
  <c r="Q23" i="1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44" i="2"/>
  <c r="C44" i="2"/>
  <c r="E44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43" i="2"/>
  <c r="C43" i="2"/>
  <c r="E43" i="2"/>
  <c r="G42" i="2"/>
  <c r="C42" i="2"/>
  <c r="E42" i="2"/>
  <c r="G11" i="2"/>
  <c r="C11" i="2"/>
  <c r="E11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44" i="2"/>
  <c r="B44" i="2"/>
  <c r="D44" i="2"/>
  <c r="A44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43" i="2"/>
  <c r="B43" i="2"/>
  <c r="D43" i="2"/>
  <c r="A43" i="2"/>
  <c r="H42" i="2"/>
  <c r="B42" i="2"/>
  <c r="D42" i="2"/>
  <c r="A42" i="2"/>
  <c r="H11" i="2"/>
  <c r="B11" i="2"/>
  <c r="D11" i="2"/>
  <c r="A11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J56" i="1"/>
  <c r="Q56" i="1"/>
  <c r="Q57" i="1"/>
  <c r="Q55" i="1"/>
  <c r="Q54" i="1"/>
  <c r="Q52" i="1"/>
  <c r="Q53" i="1"/>
  <c r="Q49" i="1"/>
  <c r="J50" i="1"/>
  <c r="Q50" i="1"/>
  <c r="Q51" i="1"/>
  <c r="F16" i="1"/>
  <c r="F17" i="1" s="1"/>
  <c r="C17" i="1"/>
  <c r="Q48" i="1"/>
  <c r="Q46" i="1"/>
  <c r="Q42" i="1"/>
  <c r="Q41" i="1"/>
  <c r="Q43" i="1"/>
  <c r="Q44" i="1"/>
  <c r="Q45" i="1"/>
  <c r="Q21" i="1"/>
  <c r="Q22" i="1"/>
  <c r="Q40" i="1"/>
  <c r="K39" i="1"/>
  <c r="Q39" i="1"/>
  <c r="Q37" i="1"/>
  <c r="Q38" i="1"/>
  <c r="Q33" i="1"/>
  <c r="Q36" i="1"/>
  <c r="Q26" i="1"/>
  <c r="C11" i="1"/>
  <c r="C12" i="1"/>
  <c r="C16" i="1" l="1"/>
  <c r="D18" i="1" s="1"/>
  <c r="O31" i="1"/>
  <c r="O45" i="1"/>
  <c r="C15" i="1"/>
  <c r="O50" i="1"/>
  <c r="O52" i="1"/>
  <c r="O46" i="1"/>
  <c r="O43" i="1"/>
  <c r="O38" i="1"/>
  <c r="O22" i="1"/>
  <c r="O47" i="1"/>
  <c r="O35" i="1"/>
  <c r="O55" i="1"/>
  <c r="O28" i="1"/>
  <c r="O44" i="1"/>
  <c r="O23" i="1"/>
  <c r="O21" i="1"/>
  <c r="O37" i="1"/>
  <c r="O53" i="1"/>
  <c r="O57" i="1"/>
  <c r="O41" i="1"/>
  <c r="O24" i="1"/>
  <c r="O32" i="1"/>
  <c r="O29" i="1"/>
  <c r="O40" i="1"/>
  <c r="O26" i="1"/>
  <c r="O48" i="1"/>
  <c r="O27" i="1"/>
  <c r="O51" i="1"/>
  <c r="O33" i="1"/>
  <c r="O54" i="1"/>
  <c r="O34" i="1"/>
  <c r="O39" i="1"/>
  <c r="O58" i="1"/>
  <c r="O25" i="1"/>
  <c r="O49" i="1"/>
  <c r="O36" i="1"/>
  <c r="O30" i="1"/>
  <c r="O42" i="1"/>
  <c r="O56" i="1"/>
  <c r="F18" i="1" l="1"/>
  <c r="F19" i="1" s="1"/>
  <c r="C18" i="1"/>
</calcChain>
</file>

<file path=xl/sharedStrings.xml><?xml version="1.0" encoding="utf-8"?>
<sst xmlns="http://schemas.openxmlformats.org/spreadsheetml/2006/main" count="429" uniqueCount="223">
  <si>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</si>
  <si>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</si>
  <si>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</si>
  <si>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</si>
  <si>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</si>
  <si>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</si>
  <si>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</si>
  <si>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</si>
  <si>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</si>
  <si>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</si>
  <si>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</si>
  <si>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</si>
  <si>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</si>
  <si>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</si>
  <si>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</si>
  <si>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</si>
  <si>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</si>
  <si>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</si>
  <si>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</si>
  <si>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</si>
  <si>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</si>
  <si>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</si>
  <si>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</si>
  <si>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</si>
  <si>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</si>
  <si>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</si>
  <si>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</si>
  <si>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4996</t>
  </si>
  <si>
    <t>not avail.</t>
  </si>
  <si>
    <t>ROTSE1 J192143.82+480356.3</t>
  </si>
  <si>
    <t>VAR 2</t>
  </si>
  <si>
    <t>I</t>
  </si>
  <si>
    <t>II</t>
  </si>
  <si>
    <t>IBVS 5713</t>
  </si>
  <si>
    <t>IBVS 5653</t>
  </si>
  <si>
    <t>IBVS 5543</t>
  </si>
  <si>
    <t>IBVS 5583</t>
  </si>
  <si>
    <t>IBVS 5483</t>
  </si>
  <si>
    <t>V2280 Cyg / GSC 3547-0216</t>
  </si>
  <si>
    <t>e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</si>
  <si>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</si>
  <si>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</si>
  <si>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</si>
  <si>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</si>
  <si>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</si>
  <si>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</si>
  <si>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</si>
  <si>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5761</t>
  </si>
  <si>
    <t>IBVS 5802</t>
  </si>
  <si>
    <t>IBVS 5837</t>
  </si>
  <si>
    <t>IBVS 5920</t>
  </si>
  <si>
    <t>Start of linear fit &gt;&gt;&gt;&gt;&gt;&gt;&gt;&gt;&gt;&gt;&gt;&gt;&gt;&gt;&gt;&gt;&gt;&gt;&gt;&gt;&gt;</t>
  </si>
  <si>
    <t>Add cycle</t>
  </si>
  <si>
    <t>Old Cycle</t>
  </si>
  <si>
    <t>IBVS 6010</t>
  </si>
  <si>
    <t>IBVS 6070</t>
  </si>
  <si>
    <t>BAD?</t>
  </si>
  <si>
    <t>IBVS 6125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</si>
  <si>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</si>
  <si>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</si>
  <si>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</si>
  <si>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</si>
  <si>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</si>
  <si>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</si>
  <si>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</si>
  <si>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</si>
  <si>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</si>
  <si>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</si>
  <si>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</si>
  <si>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</si>
  <si>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2451801.3616 </t>
  </si>
  <si>
    <t> 13.09.2000 20:40 </t>
  </si>
  <si>
    <t> -0.0019 </t>
  </si>
  <si>
    <t>E </t>
  </si>
  <si>
    <t>?</t>
  </si>
  <si>
    <t> E.Blättler </t>
  </si>
  <si>
    <t> BBS 124 </t>
  </si>
  <si>
    <t>2451806.3123 </t>
  </si>
  <si>
    <t> 18.09.2000 19:29 </t>
  </si>
  <si>
    <t> 0.0017 </t>
  </si>
  <si>
    <t>2451806.4837 </t>
  </si>
  <si>
    <t> 18.09.2000 23:36 </t>
  </si>
  <si>
    <t> -0.0036 </t>
  </si>
  <si>
    <t>2451811.4346 </t>
  </si>
  <si>
    <t> 23.09.2000 22:25 </t>
  </si>
  <si>
    <t> 0.0002 </t>
  </si>
  <si>
    <t>2451814.4377 </t>
  </si>
  <si>
    <t> 26.09.2000 22:30 </t>
  </si>
  <si>
    <t> -0.0003 </t>
  </si>
  <si>
    <t>2451850.3057 </t>
  </si>
  <si>
    <t> 01.11.2000 19:20 </t>
  </si>
  <si>
    <t> 0.0011 </t>
  </si>
  <si>
    <t>2451967.628 </t>
  </si>
  <si>
    <t> 27.02.2001 03:04 </t>
  </si>
  <si>
    <t> 0.006 </t>
  </si>
  <si>
    <t>V </t>
  </si>
  <si>
    <t> K.Locher </t>
  </si>
  <si>
    <t>2452080.538 </t>
  </si>
  <si>
    <t> 20.06.2001 00:54 </t>
  </si>
  <si>
    <t> 0.016 </t>
  </si>
  <si>
    <t> BBS 125 </t>
  </si>
  <si>
    <t>2452112.5044 </t>
  </si>
  <si>
    <t> 22.07.2001 00:06 </t>
  </si>
  <si>
    <t> 0.0029 </t>
  </si>
  <si>
    <t> BBS 126 </t>
  </si>
  <si>
    <t>2452139.5379 </t>
  </si>
  <si>
    <t> 18.08.2001 00:54 </t>
  </si>
  <si>
    <t> 0.0040 </t>
  </si>
  <si>
    <t> M.Zejda </t>
  </si>
  <si>
    <t>IBVS 5583 </t>
  </si>
  <si>
    <t>2452443.4351 </t>
  </si>
  <si>
    <t> 17.06.2002 22:26 </t>
  </si>
  <si>
    <t> 0.0072 </t>
  </si>
  <si>
    <t> BBS 128 </t>
  </si>
  <si>
    <t>2452502.434 </t>
  </si>
  <si>
    <t> 15.08.2002 22:24 </t>
  </si>
  <si>
    <t> -0.006 </t>
  </si>
  <si>
    <t>2452820.467 </t>
  </si>
  <si>
    <t> 29.06.2003 23:12 </t>
  </si>
  <si>
    <t> -0.001 </t>
  </si>
  <si>
    <t> BBS 129 </t>
  </si>
  <si>
    <t>2452820.4681 </t>
  </si>
  <si>
    <t> 29.06.2003 23:14 </t>
  </si>
  <si>
    <t> -0.0004 </t>
  </si>
  <si>
    <t> BBS 130 </t>
  </si>
  <si>
    <t>2453082.638 </t>
  </si>
  <si>
    <t> 18.03.2004 03:18 </t>
  </si>
  <si>
    <t> -0.027 </t>
  </si>
  <si>
    <t>2453233.3768 </t>
  </si>
  <si>
    <t> 15.08.2004 21:02 </t>
  </si>
  <si>
    <t> 0.0012 </t>
  </si>
  <si>
    <t>IBVS 5653 </t>
  </si>
  <si>
    <t>2453638.3354 </t>
  </si>
  <si>
    <t> 24.09.2005 20:02 </t>
  </si>
  <si>
    <t> 0.0034 </t>
  </si>
  <si>
    <t>IBVS 5713 </t>
  </si>
  <si>
    <t>2454002.4708 </t>
  </si>
  <si>
    <t> 23.09.2006 23:17 </t>
  </si>
  <si>
    <t> -0.0039 </t>
  </si>
  <si>
    <t>C </t>
  </si>
  <si>
    <t>-I</t>
  </si>
  <si>
    <t> F.Agerer </t>
  </si>
  <si>
    <t>BAVM 183 </t>
  </si>
  <si>
    <t>2454019.4317 </t>
  </si>
  <si>
    <t> 10.10.2006 22:21 </t>
  </si>
  <si>
    <t>4299.5</t>
  </si>
  <si>
    <t> -0.0045 </t>
  </si>
  <si>
    <t>R</t>
  </si>
  <si>
    <t> BBS 133 (=IBVS 5781) </t>
  </si>
  <si>
    <t>2454020.3167 </t>
  </si>
  <si>
    <t> 11.10.2006 19:36 </t>
  </si>
  <si>
    <t>4302</t>
  </si>
  <si>
    <t> -0.0030 </t>
  </si>
  <si>
    <t>2454020.4929 </t>
  </si>
  <si>
    <t> 11.10.2006 23:49 </t>
  </si>
  <si>
    <t>4302.5</t>
  </si>
  <si>
    <t> -0.0034 </t>
  </si>
  <si>
    <t>2454240.4651 </t>
  </si>
  <si>
    <t> 19.05.2007 23:09 </t>
  </si>
  <si>
    <t>4925</t>
  </si>
  <si>
    <t> -0.0010 </t>
  </si>
  <si>
    <t>BAVM 186 </t>
  </si>
  <si>
    <t>2454407.2568 </t>
  </si>
  <si>
    <t> 02.11.2007 18:09 </t>
  </si>
  <si>
    <t>5397</t>
  </si>
  <si>
    <t> 0.0024 </t>
  </si>
  <si>
    <t>IBVS 5837 </t>
  </si>
  <si>
    <t>2455066.4552 </t>
  </si>
  <si>
    <t> 22.08.2009 22:55 </t>
  </si>
  <si>
    <t>7262.5</t>
  </si>
  <si>
    <t> -0.0018 </t>
  </si>
  <si>
    <t>BAVM 212 </t>
  </si>
  <si>
    <t>2455154.2636 </t>
  </si>
  <si>
    <t> 18.11.2009 18:19 </t>
  </si>
  <si>
    <t>7511</t>
  </si>
  <si>
    <t> -0.0047 </t>
  </si>
  <si>
    <t>IBVS 5920 </t>
  </si>
  <si>
    <t>2455674.4255 </t>
  </si>
  <si>
    <t> 22.04.2011 22:12 </t>
  </si>
  <si>
    <t>8983</t>
  </si>
  <si>
    <t> 0.0038 </t>
  </si>
  <si>
    <t>BAVM 220 </t>
  </si>
  <si>
    <t>2455674.6015 </t>
  </si>
  <si>
    <t> 23.04.2011 02:26 </t>
  </si>
  <si>
    <t>8983.5</t>
  </si>
  <si>
    <t> 0.0031 </t>
  </si>
  <si>
    <t>2455687.4995 </t>
  </si>
  <si>
    <t> 05.05.2011 23:59 </t>
  </si>
  <si>
    <t>9020</t>
  </si>
  <si>
    <t> 0.0033 </t>
  </si>
  <si>
    <t>2456159.4129 </t>
  </si>
  <si>
    <t> 19.08.2012 21:54 </t>
  </si>
  <si>
    <t>10355.5</t>
  </si>
  <si>
    <t> -0.0024 </t>
  </si>
  <si>
    <t>o</t>
  </si>
  <si>
    <t> U.Schmidt </t>
  </si>
  <si>
    <t>BAVM 231 </t>
  </si>
  <si>
    <t>2456159.5894 </t>
  </si>
  <si>
    <t> 20.08.2012 02:08 </t>
  </si>
  <si>
    <t>10356</t>
  </si>
  <si>
    <t> -0.0026 </t>
  </si>
  <si>
    <t>2456483.4532 </t>
  </si>
  <si>
    <t> 09.07.2013 22:52 </t>
  </si>
  <si>
    <t>11272.5</t>
  </si>
  <si>
    <t> 0.0021 </t>
  </si>
  <si>
    <t> M.Aki </t>
  </si>
  <si>
    <t>IBVS 6125 </t>
  </si>
  <si>
    <t>2456513.4856 </t>
  </si>
  <si>
    <t> 08.08.2013 23:39 </t>
  </si>
  <si>
    <t>11357.5</t>
  </si>
  <si>
    <t> -0.0015 </t>
  </si>
  <si>
    <t>m</t>
  </si>
  <si>
    <t> R.Orhan </t>
  </si>
  <si>
    <t>2456933.2893 </t>
  </si>
  <si>
    <t> 02.10.2014 18:56 </t>
  </si>
  <si>
    <t>12545.5</t>
  </si>
  <si>
    <t> 0.0044 </t>
  </si>
  <si>
    <t>BAVM 239 </t>
  </si>
  <si>
    <t>2456933.4657 </t>
  </si>
  <si>
    <t> 02.10.2014 23:10 </t>
  </si>
  <si>
    <t>12546</t>
  </si>
  <si>
    <t> 0.0042 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</si>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</sst>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trike/>
      <sz val="1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>
      <alignment vertical="top"/>
    </xf>
    <xf numFmtId="0" fontId="10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9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V2280 Cyg - O-C Diagr.</a:t>
            </a:r>
          </a:p>
        </c:rich>
      </c:tx>
      <c:layout>
        <c:manualLayout>
          <c:xMode val="edge"/>
          <c:yMode val="edge"/>
          <c:x val="0.3684995690546111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634168126798494"/>
          <c:w val="0.8216945040386620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40-481D-B5B0-65930839F6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5">
                  <c:v>1.9218999994336627E-2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40-481D-B5B0-65930839F6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9">
                  <c:v>4.0528000004997011E-2</c:v>
                </c:pt>
                <c:pt idx="20">
                  <c:v>4.0508999998564832E-2</c:v>
                </c:pt>
                <c:pt idx="22">
                  <c:v>4.1830000001937151E-2</c:v>
                </c:pt>
                <c:pt idx="23">
                  <c:v>4.1350999992573634E-2</c:v>
                </c:pt>
                <c:pt idx="24">
                  <c:v>4.8196000003372319E-2</c:v>
                </c:pt>
                <c:pt idx="25">
                  <c:v>5.4920000002312008E-2</c:v>
                </c:pt>
                <c:pt idx="28">
                  <c:v>8.183199999621138E-2</c:v>
                </c:pt>
                <c:pt idx="29">
                  <c:v>8.1152999999176245E-2</c:v>
                </c:pt>
                <c:pt idx="30">
                  <c:v>8.1586000000243075E-2</c:v>
                </c:pt>
                <c:pt idx="31">
                  <c:v>8.5377000003063586E-2</c:v>
                </c:pt>
                <c:pt idx="32">
                  <c:v>8.5197999993397389E-2</c:v>
                </c:pt>
                <c:pt idx="35">
                  <c:v>0.10775699999794597</c:v>
                </c:pt>
                <c:pt idx="36">
                  <c:v>0.10747799999808194</c:v>
                </c:pt>
                <c:pt idx="37">
                  <c:v>0.13841500000125961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40-481D-B5B0-65930839F6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">
                  <c:v>-1.7090000037569553E-3</c:v>
                </c:pt>
                <c:pt idx="3">
                  <c:v>1.9789999932982028E-3</c:v>
                </c:pt>
                <c:pt idx="4">
                  <c:v>-3.3000000039464794E-3</c:v>
                </c:pt>
                <c:pt idx="5">
                  <c:v>0</c:v>
                </c:pt>
                <c:pt idx="6">
                  <c:v>5.8800000260816887E-4</c:v>
                </c:pt>
                <c:pt idx="7">
                  <c:v>1.449999981559813E-4</c:v>
                </c:pt>
                <c:pt idx="8">
                  <c:v>2.3079999955371022E-3</c:v>
                </c:pt>
                <c:pt idx="9">
                  <c:v>9.7519999981159344E-3</c:v>
                </c:pt>
                <c:pt idx="10">
                  <c:v>2.1870999997190665E-2</c:v>
                </c:pt>
                <c:pt idx="11">
                  <c:v>9.3720000004395843E-3</c:v>
                </c:pt>
                <c:pt idx="12">
                  <c:v>1.0985000000800937E-2</c:v>
                </c:pt>
                <c:pt idx="13">
                  <c:v>2.0304999998188578E-2</c:v>
                </c:pt>
                <c:pt idx="14">
                  <c:v>8.4189999979571439E-3</c:v>
                </c:pt>
                <c:pt idx="16">
                  <c:v>2.0318999995652121E-2</c:v>
                </c:pt>
                <c:pt idx="18">
                  <c:v>3.0195999999705236E-2</c:v>
                </c:pt>
                <c:pt idx="21">
                  <c:v>4.0224999997008126E-2</c:v>
                </c:pt>
                <c:pt idx="26">
                  <c:v>6.3970999995945022E-2</c:v>
                </c:pt>
                <c:pt idx="27">
                  <c:v>6.2907999999879394E-2</c:v>
                </c:pt>
                <c:pt idx="33">
                  <c:v>9.6390999999130145E-2</c:v>
                </c:pt>
                <c:pt idx="34">
                  <c:v>9.3360999999276828E-2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40-481D-B5B0-65930839F6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40-481D-B5B0-65930839F6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40-481D-B5B0-65930839F6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1E-4</c:v>
                  </c:pt>
                  <c:pt idx="1">
                    <c:v>1.5E-3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3.8999999999999998E-3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8.9999999999999993E-3</c:v>
                  </c:pt>
                  <c:pt idx="16">
                    <c:v>5.9999999999999995E-4</c:v>
                  </c:pt>
                  <c:pt idx="17">
                    <c:v>7.0000000000000001E-3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2.8E-3</c:v>
                  </c:pt>
                  <c:pt idx="21">
                    <c:v>5.9999999999999995E-4</c:v>
                  </c:pt>
                  <c:pt idx="22">
                    <c:v>1.6999999999999999E-3</c:v>
                  </c:pt>
                  <c:pt idx="23">
                    <c:v>3.0000000000000001E-3</c:v>
                  </c:pt>
                  <c:pt idx="24">
                    <c:v>1.1000000000000001E-3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8">
                    <c:v>1.4E-3</c:v>
                  </c:pt>
                  <c:pt idx="29">
                    <c:v>1E-4</c:v>
                  </c:pt>
                  <c:pt idx="30">
                    <c:v>1.9E-3</c:v>
                  </c:pt>
                  <c:pt idx="31">
                    <c:v>1.4E-3</c:v>
                  </c:pt>
                  <c:pt idx="32">
                    <c:v>1E-3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3.5000000000000001E-3</c:v>
                  </c:pt>
                  <c:pt idx="36">
                    <c:v>1.2999999999999999E-3</c:v>
                  </c:pt>
                  <c:pt idx="37">
                    <c:v>1.6799999999999999E-4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40-481D-B5B0-65930839F6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-9.4472076926147876E-3</c:v>
                </c:pt>
                <c:pt idx="1">
                  <c:v>-8.8110123838131115E-3</c:v>
                </c:pt>
                <c:pt idx="2">
                  <c:v>1.3259338625075242E-3</c:v>
                </c:pt>
                <c:pt idx="3">
                  <c:v>1.4243508163552976E-3</c:v>
                </c:pt>
                <c:pt idx="4">
                  <c:v>1.4278657075641465E-3</c:v>
                </c:pt>
                <c:pt idx="5">
                  <c:v>1.4278657075641465E-3</c:v>
                </c:pt>
                <c:pt idx="6">
                  <c:v>1.5262826614119197E-3</c:v>
                </c:pt>
                <c:pt idx="7">
                  <c:v>1.5860358119623534E-3</c:v>
                </c:pt>
                <c:pt idx="8">
                  <c:v>2.299558727358709E-3</c:v>
                </c:pt>
                <c:pt idx="9">
                  <c:v>4.6334464900344725E-3</c:v>
                </c:pt>
                <c:pt idx="10">
                  <c:v>6.8794619724890102E-3</c:v>
                </c:pt>
                <c:pt idx="11">
                  <c:v>7.5156572812906863E-3</c:v>
                </c:pt>
                <c:pt idx="12">
                  <c:v>8.0534356362445894E-3</c:v>
                </c:pt>
                <c:pt idx="13">
                  <c:v>1.4099048515464941E-2</c:v>
                </c:pt>
                <c:pt idx="14">
                  <c:v>1.5273022179220521E-2</c:v>
                </c:pt>
                <c:pt idx="15">
                  <c:v>2.1599826355148795E-2</c:v>
                </c:pt>
                <c:pt idx="16">
                  <c:v>2.1599826355148795E-2</c:v>
                </c:pt>
                <c:pt idx="17">
                  <c:v>2.6815924909080774E-2</c:v>
                </c:pt>
                <c:pt idx="18">
                  <c:v>2.9814127110229006E-2</c:v>
                </c:pt>
                <c:pt idx="19">
                  <c:v>3.7870257760911012E-2</c:v>
                </c:pt>
                <c:pt idx="20">
                  <c:v>4.5114448542348883E-2</c:v>
                </c:pt>
                <c:pt idx="21">
                  <c:v>4.5451878098398395E-2</c:v>
                </c:pt>
                <c:pt idx="22">
                  <c:v>4.5469452554442638E-2</c:v>
                </c:pt>
                <c:pt idx="23">
                  <c:v>4.5472967445651484E-2</c:v>
                </c:pt>
                <c:pt idx="24">
                  <c:v>4.9849007000668542E-2</c:v>
                </c:pt>
                <c:pt idx="25">
                  <c:v>5.316706430182204E-2</c:v>
                </c:pt>
                <c:pt idx="26">
                  <c:v>6.6281123402037817E-2</c:v>
                </c:pt>
                <c:pt idx="27">
                  <c:v>6.8028024332835779E-2</c:v>
                </c:pt>
                <c:pt idx="28">
                  <c:v>7.8375864051687366E-2</c:v>
                </c:pt>
                <c:pt idx="29">
                  <c:v>7.8379378942896219E-2</c:v>
                </c:pt>
                <c:pt idx="30">
                  <c:v>7.8635966001142199E-2</c:v>
                </c:pt>
                <c:pt idx="31">
                  <c:v>8.8024240419977987E-2</c:v>
                </c:pt>
                <c:pt idx="32">
                  <c:v>8.8027755311186839E-2</c:v>
                </c:pt>
                <c:pt idx="33">
                  <c:v>9.4470550897007122E-2</c:v>
                </c:pt>
                <c:pt idx="34">
                  <c:v>9.5068082402511467E-2</c:v>
                </c:pt>
                <c:pt idx="35">
                  <c:v>0.10341946391473679</c:v>
                </c:pt>
                <c:pt idx="36">
                  <c:v>0.10342297880594563</c:v>
                </c:pt>
                <c:pt idx="37">
                  <c:v>0.13842075057245554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40-481D-B5B0-65930839F67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-1547</c:v>
                </c:pt>
                <c:pt idx="1">
                  <c:v>-1456.5</c:v>
                </c:pt>
                <c:pt idx="2">
                  <c:v>-14.5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22.5</c:v>
                </c:pt>
                <c:pt idx="8">
                  <c:v>124</c:v>
                </c:pt>
                <c:pt idx="9">
                  <c:v>456</c:v>
                </c:pt>
                <c:pt idx="10">
                  <c:v>775.5</c:v>
                </c:pt>
                <c:pt idx="11">
                  <c:v>866</c:v>
                </c:pt>
                <c:pt idx="12">
                  <c:v>942.5</c:v>
                </c:pt>
                <c:pt idx="13">
                  <c:v>1802.5</c:v>
                </c:pt>
                <c:pt idx="14">
                  <c:v>1969.5</c:v>
                </c:pt>
                <c:pt idx="15">
                  <c:v>2869.5</c:v>
                </c:pt>
                <c:pt idx="16">
                  <c:v>2869.5</c:v>
                </c:pt>
                <c:pt idx="17">
                  <c:v>3611.5</c:v>
                </c:pt>
                <c:pt idx="18">
                  <c:v>4038</c:v>
                </c:pt>
                <c:pt idx="19">
                  <c:v>5184</c:v>
                </c:pt>
                <c:pt idx="20">
                  <c:v>6214.5</c:v>
                </c:pt>
                <c:pt idx="21">
                  <c:v>6262.5</c:v>
                </c:pt>
                <c:pt idx="22">
                  <c:v>6265</c:v>
                </c:pt>
                <c:pt idx="23">
                  <c:v>6265.5</c:v>
                </c:pt>
                <c:pt idx="24">
                  <c:v>6888</c:v>
                </c:pt>
                <c:pt idx="25">
                  <c:v>7360</c:v>
                </c:pt>
                <c:pt idx="26">
                  <c:v>9225.5</c:v>
                </c:pt>
                <c:pt idx="27">
                  <c:v>9474</c:v>
                </c:pt>
                <c:pt idx="28">
                  <c:v>10946</c:v>
                </c:pt>
                <c:pt idx="29">
                  <c:v>10946.5</c:v>
                </c:pt>
                <c:pt idx="30">
                  <c:v>10983</c:v>
                </c:pt>
                <c:pt idx="31">
                  <c:v>12318.5</c:v>
                </c:pt>
                <c:pt idx="32">
                  <c:v>12319</c:v>
                </c:pt>
                <c:pt idx="33">
                  <c:v>13235.5</c:v>
                </c:pt>
                <c:pt idx="34">
                  <c:v>13320.5</c:v>
                </c:pt>
                <c:pt idx="35">
                  <c:v>14508.5</c:v>
                </c:pt>
                <c:pt idx="36">
                  <c:v>14509</c:v>
                </c:pt>
                <c:pt idx="37">
                  <c:v>19487.5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0">
                  <c:v>-1.4739999969606288E-3</c:v>
                </c:pt>
                <c:pt idx="1">
                  <c:v>1.8270000000484288E-3</c:v>
                </c:pt>
                <c:pt idx="17">
                  <c:v>-1.4169999994919635E-3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40-481D-B5B0-65930839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865496"/>
        <c:axId val="1"/>
      </c:scatterChart>
      <c:valAx>
        <c:axId val="69486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86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16508913354627"/>
          <c:y val="0.92073298764483702"/>
          <c:w val="0.7147107205952896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180975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F742995-92FB-1522-0441-5EB993605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37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713" TargetMode="External"/><Relationship Id="rId7" Type="http://schemas.openxmlformats.org/officeDocument/2006/relationships/hyperlink" Target="http://www.bav-astro.de/sfs/BAVM_link.php?BAVMnr=186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6125" TargetMode="External"/><Relationship Id="rId2" Type="http://schemas.openxmlformats.org/officeDocument/2006/relationships/hyperlink" Target="http://www.konkoly.hu/cgi-bin/IBVS?5653" TargetMode="External"/><Relationship Id="rId16" Type="http://schemas.openxmlformats.org/officeDocument/2006/relationships/hyperlink" Target="http://www.konkoly.hu/cgi-bin/IBVS?6125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183" TargetMode="External"/><Relationship Id="rId15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5920" TargetMode="External"/><Relationship Id="rId1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183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workbookViewId="0">
      <pane xSplit="14" ySplit="21" topLeftCell="O49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s="13" t="s">
        <v>39</v>
      </c>
      <c r="C2" s="8" t="s">
        <v>29</v>
      </c>
    </row>
    <row r="3" spans="1:6" ht="13.5" thickBot="1" x14ac:dyDescent="0.25">
      <c r="A3" t="s">
        <v>30</v>
      </c>
    </row>
    <row r="4" spans="1:6" ht="14.25" thickTop="1" thickBot="1" x14ac:dyDescent="0.25">
      <c r="A4" s="5" t="s">
        <v>0</v>
      </c>
      <c r="C4" s="10" t="s">
        <v>28</v>
      </c>
      <c r="D4" s="11" t="s">
        <v>28</v>
      </c>
    </row>
    <row r="5" spans="1:6" ht="13.5" thickTop="1" x14ac:dyDescent="0.2">
      <c r="A5" s="15" t="s">
        <v>41</v>
      </c>
      <c r="B5" s="8"/>
      <c r="C5" s="16">
        <v>-9.5</v>
      </c>
      <c r="D5" s="8" t="s">
        <v>42</v>
      </c>
    </row>
    <row r="6" spans="1:6" x14ac:dyDescent="0.2">
      <c r="A6" s="5" t="s">
        <v>1</v>
      </c>
    </row>
    <row r="7" spans="1:6" x14ac:dyDescent="0.2">
      <c r="A7" t="s">
        <v>2</v>
      </c>
      <c r="C7">
        <v>51806.487000000001</v>
      </c>
      <c r="D7" s="9" t="s">
        <v>27</v>
      </c>
    </row>
    <row r="8" spans="1:6" x14ac:dyDescent="0.2">
      <c r="A8" t="s">
        <v>3</v>
      </c>
      <c r="C8">
        <v>0.35335800000000001</v>
      </c>
      <c r="D8" s="9" t="s">
        <v>27</v>
      </c>
    </row>
    <row r="9" spans="1:6" x14ac:dyDescent="0.2">
      <c r="A9" s="34" t="s">
        <v>51</v>
      </c>
      <c r="B9" s="35">
        <v>21</v>
      </c>
      <c r="C9" s="33" t="str">
        <f>"F"&amp;B9</f>
        <v>F21</v>
      </c>
      <c r="D9" s="12" t="str">
        <f>"G"&amp;B9</f>
        <v>G21</v>
      </c>
    </row>
    <row r="10" spans="1:6" ht="13.5" thickBot="1" x14ac:dyDescent="0.25">
      <c r="A10" s="8"/>
      <c r="B10" s="8"/>
      <c r="C10" s="4" t="s">
        <v>19</v>
      </c>
      <c r="D10" s="4" t="s">
        <v>20</v>
      </c>
      <c r="E10" s="8"/>
    </row>
    <row r="11" spans="1:6" x14ac:dyDescent="0.2">
      <c r="A11" s="8" t="s">
        <v>15</v>
      </c>
      <c r="B11" s="8"/>
      <c r="C11" s="32">
        <f ca="1">INTERCEPT(INDIRECT($D$9):G992,INDIRECT($C$9):F992)</f>
        <v>1.4278657075641465E-3</v>
      </c>
      <c r="D11" s="3"/>
      <c r="E11" s="8"/>
    </row>
    <row r="12" spans="1:6" x14ac:dyDescent="0.2">
      <c r="A12" s="8" t="s">
        <v>16</v>
      </c>
      <c r="B12" s="8"/>
      <c r="C12" s="32">
        <f ca="1">SLOPE(INDIRECT($D$9):G992,INDIRECT($C$9):F992)</f>
        <v>7.0297824176980831E-6</v>
      </c>
      <c r="D12" s="3"/>
      <c r="E12" s="8"/>
    </row>
    <row r="13" spans="1:6" x14ac:dyDescent="0.2">
      <c r="A13" s="8" t="s">
        <v>18</v>
      </c>
      <c r="B13" s="8"/>
      <c r="C13" s="3" t="s">
        <v>13</v>
      </c>
    </row>
    <row r="14" spans="1:6" x14ac:dyDescent="0.2">
      <c r="A14" s="8"/>
      <c r="B14" s="8"/>
      <c r="C14" s="8"/>
    </row>
    <row r="15" spans="1:6" x14ac:dyDescent="0.2">
      <c r="A15" s="17" t="s">
        <v>17</v>
      </c>
      <c r="B15" s="8"/>
      <c r="C15" s="18">
        <f ca="1">(C7+C11)+(C8+C12)*INT(MAX(F21:F3533))</f>
        <v>58692.512763235689</v>
      </c>
      <c r="E15" s="19" t="s">
        <v>52</v>
      </c>
      <c r="F15" s="16">
        <v>1</v>
      </c>
    </row>
    <row r="16" spans="1:6" x14ac:dyDescent="0.2">
      <c r="A16" s="21" t="s">
        <v>4</v>
      </c>
      <c r="B16" s="8"/>
      <c r="C16" s="22">
        <f ca="1">+C8+C12</f>
        <v>0.35336502978241768</v>
      </c>
      <c r="E16" s="19" t="s">
        <v>43</v>
      </c>
      <c r="F16" s="20">
        <f ca="1">NOW()+15018.5+$C$5/24</f>
        <v>60346.681018055555</v>
      </c>
    </row>
    <row r="17" spans="1:21" ht="13.5" thickBot="1" x14ac:dyDescent="0.25">
      <c r="A17" s="19" t="s">
        <v>40</v>
      </c>
      <c r="B17" s="8"/>
      <c r="C17" s="8">
        <f>COUNT(C21:C2191)</f>
        <v>38</v>
      </c>
      <c r="E17" s="19" t="s">
        <v>53</v>
      </c>
      <c r="F17" s="20">
        <f ca="1">ROUND(2*(F16-$C$7)/$C$8,0)/2+F15</f>
        <v>24169.5</v>
      </c>
    </row>
    <row r="18" spans="1:21" ht="14.25" thickTop="1" thickBot="1" x14ac:dyDescent="0.25">
      <c r="A18" s="21" t="s">
        <v>5</v>
      </c>
      <c r="B18" s="8"/>
      <c r="C18" s="24">
        <f ca="1">+C15</f>
        <v>58692.512763235689</v>
      </c>
      <c r="D18" s="25">
        <f ca="1">+C16</f>
        <v>0.35336502978241768</v>
      </c>
      <c r="E18" s="19" t="s">
        <v>44</v>
      </c>
      <c r="F18" s="12">
        <f ca="1">ROUND(2*(F16-$C$15)/$C$16,0)/2+F15</f>
        <v>4682</v>
      </c>
    </row>
    <row r="19" spans="1:21" ht="13.5" thickTop="1" x14ac:dyDescent="0.2">
      <c r="E19" s="19" t="s">
        <v>45</v>
      </c>
      <c r="F19" s="23">
        <f ca="1">+$C$15+$C$16*F18-15018.5-$C$5/24</f>
        <v>45328.863666010307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66</v>
      </c>
      <c r="I20" s="7" t="s">
        <v>69</v>
      </c>
      <c r="J20" s="7" t="s">
        <v>63</v>
      </c>
      <c r="K20" s="7" t="s">
        <v>61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38" t="s">
        <v>56</v>
      </c>
    </row>
    <row r="21" spans="1:21" x14ac:dyDescent="0.2">
      <c r="A21" t="s">
        <v>27</v>
      </c>
      <c r="B21" s="3" t="s">
        <v>31</v>
      </c>
      <c r="C21" s="14">
        <v>51259.840700000001</v>
      </c>
      <c r="D21" s="14">
        <v>1E-4</v>
      </c>
      <c r="E21">
        <f t="shared" ref="E21:E57" si="0">+(C21-C$7)/C$8</f>
        <v>-1547.0041714069027</v>
      </c>
      <c r="F21">
        <f t="shared" ref="F21:F53" si="1">ROUND(2*E21,0)/2</f>
        <v>-1547</v>
      </c>
      <c r="O21">
        <f t="shared" ref="O21:O57" ca="1" si="2">+C$11+C$12*$F21</f>
        <v>-9.4472076926147876E-3</v>
      </c>
      <c r="Q21" s="2">
        <f t="shared" ref="Q21:Q57" si="3">+C21-15018.5</f>
        <v>36241.340700000001</v>
      </c>
      <c r="R21" s="2"/>
      <c r="S21" s="2"/>
      <c r="T21" s="2"/>
      <c r="U21" s="12">
        <v>-1.4739999969606288E-3</v>
      </c>
    </row>
    <row r="22" spans="1:21" x14ac:dyDescent="0.2">
      <c r="A22" t="s">
        <v>27</v>
      </c>
      <c r="B22" s="3" t="s">
        <v>32</v>
      </c>
      <c r="C22" s="14">
        <v>51291.822899999999</v>
      </c>
      <c r="D22" s="14">
        <v>1.5E-3</v>
      </c>
      <c r="E22">
        <f t="shared" si="0"/>
        <v>-1456.49482960624</v>
      </c>
      <c r="F22">
        <f t="shared" si="1"/>
        <v>-1456.5</v>
      </c>
      <c r="O22">
        <f t="shared" ca="1" si="2"/>
        <v>-8.8110123838131115E-3</v>
      </c>
      <c r="Q22" s="2">
        <f t="shared" si="3"/>
        <v>36273.322899999999</v>
      </c>
      <c r="R22" s="2"/>
      <c r="S22" s="2"/>
      <c r="T22" s="2"/>
      <c r="U22" s="12">
        <v>1.8270000000484288E-3</v>
      </c>
    </row>
    <row r="23" spans="1:21" x14ac:dyDescent="0.2">
      <c r="A23" s="57" t="s">
        <v>76</v>
      </c>
      <c r="B23" s="58" t="s">
        <v>32</v>
      </c>
      <c r="C23" s="57">
        <v>51801.361599999997</v>
      </c>
      <c r="D23" s="57" t="s">
        <v>69</v>
      </c>
      <c r="E23">
        <f t="shared" si="0"/>
        <v>-14.504836454826117</v>
      </c>
      <c r="F23">
        <f t="shared" si="1"/>
        <v>-14.5</v>
      </c>
      <c r="G23">
        <f t="shared" ref="G23:G37" si="4">+C23-(C$7+F23*C$8)</f>
        <v>-1.7090000037569553E-3</v>
      </c>
      <c r="K23">
        <f t="shared" ref="K23:K35" si="5">+G23</f>
        <v>-1.7090000037569553E-3</v>
      </c>
      <c r="O23">
        <f t="shared" ca="1" si="2"/>
        <v>1.3259338625075242E-3</v>
      </c>
      <c r="Q23" s="2">
        <f t="shared" si="3"/>
        <v>36782.861599999997</v>
      </c>
      <c r="R23" s="2"/>
      <c r="S23" s="2"/>
      <c r="T23" s="2"/>
    </row>
    <row r="24" spans="1:21" x14ac:dyDescent="0.2">
      <c r="A24" s="57" t="s">
        <v>76</v>
      </c>
      <c r="B24" s="58" t="s">
        <v>32</v>
      </c>
      <c r="C24" s="57">
        <v>51806.312299999998</v>
      </c>
      <c r="D24" s="57" t="s">
        <v>69</v>
      </c>
      <c r="E24">
        <f t="shared" si="0"/>
        <v>-0.49439944759482751</v>
      </c>
      <c r="F24">
        <f t="shared" si="1"/>
        <v>-0.5</v>
      </c>
      <c r="G24">
        <f t="shared" si="4"/>
        <v>1.9789999932982028E-3</v>
      </c>
      <c r="K24">
        <f t="shared" si="5"/>
        <v>1.9789999932982028E-3</v>
      </c>
      <c r="O24">
        <f t="shared" ca="1" si="2"/>
        <v>1.4243508163552976E-3</v>
      </c>
      <c r="Q24" s="2">
        <f t="shared" si="3"/>
        <v>36787.812299999998</v>
      </c>
      <c r="R24" s="2"/>
      <c r="S24" s="2"/>
      <c r="T24" s="2"/>
    </row>
    <row r="25" spans="1:21" x14ac:dyDescent="0.2">
      <c r="A25" s="57" t="s">
        <v>76</v>
      </c>
      <c r="B25" s="58" t="s">
        <v>31</v>
      </c>
      <c r="C25" s="57">
        <v>51806.483699999997</v>
      </c>
      <c r="D25" s="57" t="s">
        <v>69</v>
      </c>
      <c r="E25">
        <f t="shared" si="0"/>
        <v>-9.3389706868005802E-3</v>
      </c>
      <c r="F25">
        <f t="shared" si="1"/>
        <v>0</v>
      </c>
      <c r="G25">
        <f t="shared" si="4"/>
        <v>-3.3000000039464794E-3</v>
      </c>
      <c r="K25">
        <f t="shared" si="5"/>
        <v>-3.3000000039464794E-3</v>
      </c>
      <c r="O25">
        <f t="shared" ca="1" si="2"/>
        <v>1.4278657075641465E-3</v>
      </c>
      <c r="Q25" s="2">
        <f t="shared" si="3"/>
        <v>36787.983699999997</v>
      </c>
      <c r="R25" s="2"/>
      <c r="S25" s="2"/>
      <c r="T25" s="2"/>
    </row>
    <row r="26" spans="1:21" x14ac:dyDescent="0.2">
      <c r="A26" t="s">
        <v>27</v>
      </c>
      <c r="B26" s="3"/>
      <c r="C26" s="14">
        <v>51806.487000000001</v>
      </c>
      <c r="D26" s="14" t="s">
        <v>13</v>
      </c>
      <c r="E26">
        <f t="shared" si="0"/>
        <v>0</v>
      </c>
      <c r="F26">
        <f t="shared" si="1"/>
        <v>0</v>
      </c>
      <c r="G26">
        <f t="shared" si="4"/>
        <v>0</v>
      </c>
      <c r="K26">
        <f t="shared" si="5"/>
        <v>0</v>
      </c>
      <c r="O26">
        <f t="shared" ca="1" si="2"/>
        <v>1.4278657075641465E-3</v>
      </c>
      <c r="Q26" s="2">
        <f t="shared" si="3"/>
        <v>36787.987000000001</v>
      </c>
      <c r="R26" s="2"/>
      <c r="S26" s="2"/>
      <c r="T26" s="2"/>
    </row>
    <row r="27" spans="1:21" x14ac:dyDescent="0.2">
      <c r="A27" s="57" t="s">
        <v>76</v>
      </c>
      <c r="B27" s="58" t="s">
        <v>31</v>
      </c>
      <c r="C27" s="57">
        <v>51811.434600000001</v>
      </c>
      <c r="D27" s="57" t="s">
        <v>69</v>
      </c>
      <c r="E27">
        <f t="shared" si="0"/>
        <v>14.001664034773547</v>
      </c>
      <c r="F27">
        <f t="shared" si="1"/>
        <v>14</v>
      </c>
      <c r="G27">
        <f t="shared" si="4"/>
        <v>5.8800000260816887E-4</v>
      </c>
      <c r="K27">
        <f t="shared" si="5"/>
        <v>5.8800000260816887E-4</v>
      </c>
      <c r="O27">
        <f t="shared" ca="1" si="2"/>
        <v>1.5262826614119197E-3</v>
      </c>
      <c r="Q27" s="2">
        <f t="shared" si="3"/>
        <v>36792.934600000001</v>
      </c>
      <c r="R27" s="2"/>
      <c r="S27" s="2"/>
      <c r="T27" s="2"/>
    </row>
    <row r="28" spans="1:21" x14ac:dyDescent="0.2">
      <c r="A28" s="57" t="s">
        <v>76</v>
      </c>
      <c r="B28" s="58" t="s">
        <v>32</v>
      </c>
      <c r="C28" s="57">
        <v>51814.437700000002</v>
      </c>
      <c r="D28" s="57" t="s">
        <v>69</v>
      </c>
      <c r="E28">
        <f t="shared" si="0"/>
        <v>22.500410348714997</v>
      </c>
      <c r="F28">
        <f t="shared" si="1"/>
        <v>22.5</v>
      </c>
      <c r="G28">
        <f t="shared" si="4"/>
        <v>1.449999981559813E-4</v>
      </c>
      <c r="K28">
        <f t="shared" si="5"/>
        <v>1.449999981559813E-4</v>
      </c>
      <c r="O28">
        <f t="shared" ca="1" si="2"/>
        <v>1.5860358119623534E-3</v>
      </c>
      <c r="Q28" s="2">
        <f t="shared" si="3"/>
        <v>36795.937700000002</v>
      </c>
      <c r="R28" s="2"/>
      <c r="S28" s="2"/>
      <c r="T28" s="2"/>
    </row>
    <row r="29" spans="1:21" x14ac:dyDescent="0.2">
      <c r="A29" s="57" t="s">
        <v>76</v>
      </c>
      <c r="B29" s="58" t="s">
        <v>31</v>
      </c>
      <c r="C29" s="57">
        <v>51850.305699999997</v>
      </c>
      <c r="D29" s="57" t="s">
        <v>69</v>
      </c>
      <c r="E29">
        <f t="shared" si="0"/>
        <v>124.00653161947987</v>
      </c>
      <c r="F29">
        <f t="shared" si="1"/>
        <v>124</v>
      </c>
      <c r="G29">
        <f t="shared" si="4"/>
        <v>2.3079999955371022E-3</v>
      </c>
      <c r="K29">
        <f t="shared" si="5"/>
        <v>2.3079999955371022E-3</v>
      </c>
      <c r="O29">
        <f t="shared" ca="1" si="2"/>
        <v>2.299558727358709E-3</v>
      </c>
      <c r="Q29" s="2">
        <f t="shared" si="3"/>
        <v>36831.805699999997</v>
      </c>
      <c r="R29" s="2"/>
      <c r="S29" s="2"/>
      <c r="T29" s="2"/>
    </row>
    <row r="30" spans="1:21" x14ac:dyDescent="0.2">
      <c r="A30" s="57" t="s">
        <v>76</v>
      </c>
      <c r="B30" s="58" t="s">
        <v>31</v>
      </c>
      <c r="C30" s="57">
        <v>51967.627999999997</v>
      </c>
      <c r="D30" s="57" t="s">
        <v>69</v>
      </c>
      <c r="E30">
        <f t="shared" si="0"/>
        <v>456.02759807333069</v>
      </c>
      <c r="F30">
        <f t="shared" si="1"/>
        <v>456</v>
      </c>
      <c r="G30">
        <f t="shared" si="4"/>
        <v>9.7519999981159344E-3</v>
      </c>
      <c r="K30">
        <f t="shared" si="5"/>
        <v>9.7519999981159344E-3</v>
      </c>
      <c r="O30">
        <f t="shared" ca="1" si="2"/>
        <v>4.6334464900344725E-3</v>
      </c>
      <c r="Q30" s="2">
        <f t="shared" si="3"/>
        <v>36949.127999999997</v>
      </c>
      <c r="R30" s="2"/>
      <c r="S30" s="2"/>
      <c r="T30" s="2"/>
    </row>
    <row r="31" spans="1:21" x14ac:dyDescent="0.2">
      <c r="A31" s="57" t="s">
        <v>100</v>
      </c>
      <c r="B31" s="58" t="s">
        <v>32</v>
      </c>
      <c r="C31" s="57">
        <v>52080.538</v>
      </c>
      <c r="D31" s="57" t="s">
        <v>69</v>
      </c>
      <c r="E31">
        <f t="shared" si="0"/>
        <v>775.56189473564905</v>
      </c>
      <c r="F31">
        <f t="shared" si="1"/>
        <v>775.5</v>
      </c>
      <c r="G31">
        <f t="shared" si="4"/>
        <v>2.1870999997190665E-2</v>
      </c>
      <c r="K31">
        <f t="shared" si="5"/>
        <v>2.1870999997190665E-2</v>
      </c>
      <c r="O31">
        <f t="shared" ca="1" si="2"/>
        <v>6.8794619724890102E-3</v>
      </c>
      <c r="Q31" s="2">
        <f t="shared" si="3"/>
        <v>37062.038</v>
      </c>
      <c r="R31" s="2"/>
      <c r="S31" s="2"/>
      <c r="T31" s="2"/>
    </row>
    <row r="32" spans="1:21" x14ac:dyDescent="0.2">
      <c r="A32" s="57" t="s">
        <v>104</v>
      </c>
      <c r="B32" s="58" t="s">
        <v>31</v>
      </c>
      <c r="C32" s="57">
        <v>52112.504399999998</v>
      </c>
      <c r="D32" s="57" t="s">
        <v>69</v>
      </c>
      <c r="E32">
        <f t="shared" si="0"/>
        <v>866.02652267671033</v>
      </c>
      <c r="F32">
        <f t="shared" si="1"/>
        <v>866</v>
      </c>
      <c r="G32">
        <f t="shared" si="4"/>
        <v>9.3720000004395843E-3</v>
      </c>
      <c r="K32">
        <f t="shared" si="5"/>
        <v>9.3720000004395843E-3</v>
      </c>
      <c r="O32">
        <f t="shared" ca="1" si="2"/>
        <v>7.5156572812906863E-3</v>
      </c>
      <c r="Q32" s="2">
        <f t="shared" si="3"/>
        <v>37094.004399999998</v>
      </c>
      <c r="R32" s="2"/>
      <c r="S32" s="2"/>
      <c r="T32" s="2"/>
    </row>
    <row r="33" spans="1:21" x14ac:dyDescent="0.2">
      <c r="A33" t="s">
        <v>36</v>
      </c>
      <c r="B33" s="3" t="s">
        <v>32</v>
      </c>
      <c r="C33" s="14">
        <v>52139.537900000003</v>
      </c>
      <c r="D33" s="14">
        <v>3.8999999999999998E-3</v>
      </c>
      <c r="E33">
        <f t="shared" si="0"/>
        <v>942.53108745239103</v>
      </c>
      <c r="F33">
        <f t="shared" si="1"/>
        <v>942.5</v>
      </c>
      <c r="G33">
        <f t="shared" si="4"/>
        <v>1.0985000000800937E-2</v>
      </c>
      <c r="K33">
        <f t="shared" si="5"/>
        <v>1.0985000000800937E-2</v>
      </c>
      <c r="O33">
        <f t="shared" ca="1" si="2"/>
        <v>8.0534356362445894E-3</v>
      </c>
      <c r="Q33" s="2">
        <f t="shared" si="3"/>
        <v>37121.037900000003</v>
      </c>
      <c r="R33" s="2"/>
      <c r="S33" s="2"/>
      <c r="T33" s="2"/>
    </row>
    <row r="34" spans="1:21" x14ac:dyDescent="0.2">
      <c r="A34" s="57" t="s">
        <v>113</v>
      </c>
      <c r="B34" s="58" t="s">
        <v>32</v>
      </c>
      <c r="C34" s="57">
        <v>52443.435100000002</v>
      </c>
      <c r="D34" s="57" t="s">
        <v>69</v>
      </c>
      <c r="E34">
        <f t="shared" si="0"/>
        <v>1802.5574629695702</v>
      </c>
      <c r="F34">
        <f t="shared" si="1"/>
        <v>1802.5</v>
      </c>
      <c r="G34">
        <f t="shared" si="4"/>
        <v>2.0304999998188578E-2</v>
      </c>
      <c r="K34">
        <f t="shared" si="5"/>
        <v>2.0304999998188578E-2</v>
      </c>
      <c r="O34">
        <f t="shared" ca="1" si="2"/>
        <v>1.4099048515464941E-2</v>
      </c>
      <c r="Q34" s="2">
        <f t="shared" si="3"/>
        <v>37424.935100000002</v>
      </c>
      <c r="R34" s="2"/>
      <c r="S34" s="2"/>
      <c r="T34" s="2"/>
    </row>
    <row r="35" spans="1:21" x14ac:dyDescent="0.2">
      <c r="A35" s="57" t="s">
        <v>113</v>
      </c>
      <c r="B35" s="58" t="s">
        <v>32</v>
      </c>
      <c r="C35" s="57">
        <v>52502.434000000001</v>
      </c>
      <c r="D35" s="57" t="s">
        <v>69</v>
      </c>
      <c r="E35">
        <f t="shared" si="0"/>
        <v>1969.5238256951877</v>
      </c>
      <c r="F35">
        <f t="shared" si="1"/>
        <v>1969.5</v>
      </c>
      <c r="G35">
        <f t="shared" si="4"/>
        <v>8.4189999979571439E-3</v>
      </c>
      <c r="K35">
        <f t="shared" si="5"/>
        <v>8.4189999979571439E-3</v>
      </c>
      <c r="O35">
        <f t="shared" ca="1" si="2"/>
        <v>1.5273022179220521E-2</v>
      </c>
      <c r="Q35" s="2">
        <f t="shared" si="3"/>
        <v>37483.934000000001</v>
      </c>
      <c r="R35" s="2"/>
      <c r="S35" s="2"/>
      <c r="T35" s="2"/>
    </row>
    <row r="36" spans="1:21" x14ac:dyDescent="0.2">
      <c r="A36" s="59" t="s">
        <v>37</v>
      </c>
      <c r="B36" s="3" t="s">
        <v>32</v>
      </c>
      <c r="C36" s="14">
        <v>52820.466999999997</v>
      </c>
      <c r="D36" s="14">
        <v>8.9999999999999993E-3</v>
      </c>
      <c r="E36">
        <f t="shared" si="0"/>
        <v>2869.554389599205</v>
      </c>
      <c r="F36">
        <f t="shared" si="1"/>
        <v>2869.5</v>
      </c>
      <c r="G36">
        <f t="shared" si="4"/>
        <v>1.9218999994336627E-2</v>
      </c>
      <c r="I36">
        <f>+G36</f>
        <v>1.9218999994336627E-2</v>
      </c>
      <c r="O36">
        <f t="shared" ca="1" si="2"/>
        <v>2.1599826355148795E-2</v>
      </c>
      <c r="Q36" s="2">
        <f t="shared" si="3"/>
        <v>37801.966999999997</v>
      </c>
      <c r="R36" s="2"/>
      <c r="S36" s="2"/>
      <c r="T36" s="2"/>
    </row>
    <row r="37" spans="1:21" x14ac:dyDescent="0.2">
      <c r="A37" t="s">
        <v>35</v>
      </c>
      <c r="B37" s="3" t="s">
        <v>32</v>
      </c>
      <c r="C37" s="14">
        <v>52820.468099999998</v>
      </c>
      <c r="D37" s="14">
        <v>5.9999999999999995E-4</v>
      </c>
      <c r="E37">
        <f t="shared" si="0"/>
        <v>2869.5575025894341</v>
      </c>
      <c r="F37">
        <f t="shared" si="1"/>
        <v>2869.5</v>
      </c>
      <c r="G37">
        <f t="shared" si="4"/>
        <v>2.0318999995652121E-2</v>
      </c>
      <c r="K37">
        <f>+G37</f>
        <v>2.0318999995652121E-2</v>
      </c>
      <c r="O37">
        <f t="shared" ca="1" si="2"/>
        <v>2.1599826355148795E-2</v>
      </c>
      <c r="Q37" s="2">
        <f t="shared" si="3"/>
        <v>37801.968099999998</v>
      </c>
      <c r="R37" s="2"/>
      <c r="S37" s="2"/>
      <c r="T37" s="2"/>
    </row>
    <row r="38" spans="1:21" x14ac:dyDescent="0.2">
      <c r="A38" t="s">
        <v>35</v>
      </c>
      <c r="B38" s="3" t="s">
        <v>32</v>
      </c>
      <c r="C38" s="14">
        <v>53082.637999999999</v>
      </c>
      <c r="D38" s="14">
        <v>7.0000000000000001E-3</v>
      </c>
      <c r="E38">
        <f t="shared" si="0"/>
        <v>3611.4959899025862</v>
      </c>
      <c r="F38">
        <f t="shared" si="1"/>
        <v>3611.5</v>
      </c>
      <c r="O38">
        <f t="shared" ca="1" si="2"/>
        <v>2.6815924909080774E-2</v>
      </c>
      <c r="Q38" s="2">
        <f t="shared" si="3"/>
        <v>38064.137999999999</v>
      </c>
      <c r="R38" s="2"/>
      <c r="S38" s="2"/>
      <c r="T38" s="2"/>
      <c r="U38" s="12">
        <v>-1.4169999994919635E-3</v>
      </c>
    </row>
    <row r="39" spans="1:21" x14ac:dyDescent="0.2">
      <c r="A39" s="29" t="s">
        <v>34</v>
      </c>
      <c r="B39" s="30" t="s">
        <v>31</v>
      </c>
      <c r="C39" s="28">
        <v>53233.376799999998</v>
      </c>
      <c r="D39" s="14">
        <v>5.9999999999999995E-4</v>
      </c>
      <c r="E39">
        <f t="shared" si="0"/>
        <v>4038.0854544116651</v>
      </c>
      <c r="F39">
        <f t="shared" si="1"/>
        <v>4038</v>
      </c>
      <c r="G39">
        <f t="shared" ref="G39:G57" si="6">+C39-(C$7+F39*C$8)</f>
        <v>3.0195999999705236E-2</v>
      </c>
      <c r="K39">
        <f>+G39</f>
        <v>3.0195999999705236E-2</v>
      </c>
      <c r="O39">
        <f t="shared" ca="1" si="2"/>
        <v>2.9814127110229006E-2</v>
      </c>
      <c r="Q39" s="2">
        <f t="shared" si="3"/>
        <v>38214.876799999998</v>
      </c>
      <c r="R39" s="2"/>
      <c r="S39" s="2"/>
      <c r="T39" s="2"/>
    </row>
    <row r="40" spans="1:21" x14ac:dyDescent="0.2">
      <c r="A40" s="29" t="s">
        <v>33</v>
      </c>
      <c r="B40" s="30" t="s">
        <v>31</v>
      </c>
      <c r="C40" s="28">
        <v>53638.335400000004</v>
      </c>
      <c r="D40" s="14">
        <v>5.9999999999999995E-4</v>
      </c>
      <c r="E40">
        <f t="shared" si="0"/>
        <v>5184.1146938798684</v>
      </c>
      <c r="F40">
        <f t="shared" si="1"/>
        <v>5184</v>
      </c>
      <c r="G40">
        <f t="shared" si="6"/>
        <v>4.0528000004997011E-2</v>
      </c>
      <c r="J40">
        <f>+G40</f>
        <v>4.0528000004997011E-2</v>
      </c>
      <c r="O40">
        <f t="shared" ca="1" si="2"/>
        <v>3.7870257760911012E-2</v>
      </c>
      <c r="Q40" s="2">
        <f t="shared" si="3"/>
        <v>38619.835400000004</v>
      </c>
      <c r="R40" s="2"/>
      <c r="S40" s="2"/>
      <c r="T40" s="2"/>
    </row>
    <row r="41" spans="1:21" x14ac:dyDescent="0.2">
      <c r="A41" s="27" t="s">
        <v>47</v>
      </c>
      <c r="B41" s="31" t="s">
        <v>31</v>
      </c>
      <c r="C41" s="28">
        <v>54002.470800000003</v>
      </c>
      <c r="D41" s="14">
        <v>2.8E-3</v>
      </c>
      <c r="E41">
        <f t="shared" si="0"/>
        <v>6214.614640110035</v>
      </c>
      <c r="F41">
        <f t="shared" si="1"/>
        <v>6214.5</v>
      </c>
      <c r="G41">
        <f t="shared" si="6"/>
        <v>4.0508999998564832E-2</v>
      </c>
      <c r="J41">
        <f>+G41</f>
        <v>4.0508999998564832E-2</v>
      </c>
      <c r="O41">
        <f t="shared" ca="1" si="2"/>
        <v>4.5114448542348883E-2</v>
      </c>
      <c r="Q41" s="2">
        <f t="shared" si="3"/>
        <v>38983.970800000003</v>
      </c>
      <c r="R41" s="2"/>
      <c r="S41" s="2"/>
      <c r="T41" s="2"/>
    </row>
    <row r="42" spans="1:21" x14ac:dyDescent="0.2">
      <c r="A42" s="26" t="s">
        <v>46</v>
      </c>
      <c r="B42" s="30" t="s">
        <v>32</v>
      </c>
      <c r="C42" s="28">
        <v>54019.431700000001</v>
      </c>
      <c r="D42" s="28">
        <v>5.9999999999999995E-4</v>
      </c>
      <c r="E42">
        <f t="shared" si="0"/>
        <v>6262.6138363925538</v>
      </c>
      <c r="F42">
        <f t="shared" si="1"/>
        <v>6262.5</v>
      </c>
      <c r="G42">
        <f t="shared" si="6"/>
        <v>4.0224999997008126E-2</v>
      </c>
      <c r="K42">
        <f>+G42</f>
        <v>4.0224999997008126E-2</v>
      </c>
      <c r="O42">
        <f t="shared" ca="1" si="2"/>
        <v>4.5451878098398395E-2</v>
      </c>
      <c r="Q42" s="2">
        <f t="shared" si="3"/>
        <v>39000.931700000001</v>
      </c>
      <c r="R42" s="2"/>
      <c r="S42" s="2"/>
      <c r="T42" s="2"/>
    </row>
    <row r="43" spans="1:21" x14ac:dyDescent="0.2">
      <c r="A43" s="27" t="s">
        <v>47</v>
      </c>
      <c r="B43" s="31" t="s">
        <v>31</v>
      </c>
      <c r="C43" s="28">
        <v>54020.316700000003</v>
      </c>
      <c r="D43" s="14">
        <v>1.6999999999999999E-3</v>
      </c>
      <c r="E43">
        <f t="shared" si="0"/>
        <v>6265.1183785282974</v>
      </c>
      <c r="F43">
        <f t="shared" si="1"/>
        <v>6265</v>
      </c>
      <c r="G43">
        <f t="shared" si="6"/>
        <v>4.1830000001937151E-2</v>
      </c>
      <c r="J43">
        <f>+G43</f>
        <v>4.1830000001937151E-2</v>
      </c>
      <c r="O43">
        <f t="shared" ca="1" si="2"/>
        <v>4.5469452554442638E-2</v>
      </c>
      <c r="Q43" s="2">
        <f t="shared" si="3"/>
        <v>39001.816700000003</v>
      </c>
      <c r="R43" s="2"/>
      <c r="S43" s="2"/>
      <c r="T43" s="2"/>
    </row>
    <row r="44" spans="1:21" x14ac:dyDescent="0.2">
      <c r="A44" s="27" t="s">
        <v>47</v>
      </c>
      <c r="B44" s="31" t="s">
        <v>31</v>
      </c>
      <c r="C44" s="28">
        <v>54020.492899999997</v>
      </c>
      <c r="D44" s="28">
        <v>3.0000000000000001E-3</v>
      </c>
      <c r="E44">
        <f t="shared" si="0"/>
        <v>6265.6170229625377</v>
      </c>
      <c r="F44">
        <f t="shared" si="1"/>
        <v>6265.5</v>
      </c>
      <c r="G44">
        <f t="shared" si="6"/>
        <v>4.1350999992573634E-2</v>
      </c>
      <c r="J44">
        <f>+G44</f>
        <v>4.1350999992573634E-2</v>
      </c>
      <c r="O44">
        <f t="shared" ca="1" si="2"/>
        <v>4.5472967445651484E-2</v>
      </c>
      <c r="Q44" s="2">
        <f t="shared" si="3"/>
        <v>39001.992899999997</v>
      </c>
      <c r="R44" s="2"/>
      <c r="S44" s="2"/>
      <c r="T44" s="2"/>
    </row>
    <row r="45" spans="1:21" x14ac:dyDescent="0.2">
      <c r="A45" s="28" t="s">
        <v>48</v>
      </c>
      <c r="B45" s="31"/>
      <c r="C45" s="28">
        <v>54240.465100000001</v>
      </c>
      <c r="D45" s="28">
        <v>1.1000000000000001E-3</v>
      </c>
      <c r="E45">
        <f t="shared" si="0"/>
        <v>6888.1363942517228</v>
      </c>
      <c r="F45">
        <f t="shared" si="1"/>
        <v>6888</v>
      </c>
      <c r="G45">
        <f t="shared" si="6"/>
        <v>4.8196000003372319E-2</v>
      </c>
      <c r="J45">
        <f>+G45</f>
        <v>4.8196000003372319E-2</v>
      </c>
      <c r="O45">
        <f t="shared" ca="1" si="2"/>
        <v>4.9849007000668542E-2</v>
      </c>
      <c r="Q45" s="2">
        <f t="shared" si="3"/>
        <v>39221.965100000001</v>
      </c>
      <c r="R45" s="2"/>
      <c r="S45" s="2"/>
      <c r="T45" s="2"/>
    </row>
    <row r="46" spans="1:21" x14ac:dyDescent="0.2">
      <c r="A46" s="27" t="s">
        <v>49</v>
      </c>
      <c r="B46" s="30" t="s">
        <v>31</v>
      </c>
      <c r="C46" s="28">
        <v>54407.256800000003</v>
      </c>
      <c r="D46" s="36"/>
      <c r="E46">
        <f t="shared" si="0"/>
        <v>7360.1554231119762</v>
      </c>
      <c r="F46">
        <f t="shared" si="1"/>
        <v>7360</v>
      </c>
      <c r="G46">
        <f t="shared" si="6"/>
        <v>5.4920000002312008E-2</v>
      </c>
      <c r="J46">
        <f>+G46</f>
        <v>5.4920000002312008E-2</v>
      </c>
      <c r="O46">
        <f t="shared" ca="1" si="2"/>
        <v>5.316706430182204E-2</v>
      </c>
      <c r="Q46" s="2">
        <f t="shared" si="3"/>
        <v>39388.756800000003</v>
      </c>
      <c r="R46" s="2"/>
      <c r="S46" s="2"/>
      <c r="T46" s="2"/>
    </row>
    <row r="47" spans="1:21" x14ac:dyDescent="0.2">
      <c r="A47" s="57" t="s">
        <v>171</v>
      </c>
      <c r="B47" s="58" t="s">
        <v>32</v>
      </c>
      <c r="C47" s="57">
        <v>55066.455199999997</v>
      </c>
      <c r="D47" s="57" t="s">
        <v>69</v>
      </c>
      <c r="E47">
        <f t="shared" si="0"/>
        <v>9225.6810373615299</v>
      </c>
      <c r="F47">
        <f t="shared" si="1"/>
        <v>9225.5</v>
      </c>
      <c r="G47">
        <f t="shared" si="6"/>
        <v>6.3970999995945022E-2</v>
      </c>
      <c r="K47">
        <f>+G47</f>
        <v>6.3970999995945022E-2</v>
      </c>
      <c r="O47">
        <f t="shared" ca="1" si="2"/>
        <v>6.6281123402037817E-2</v>
      </c>
      <c r="Q47" s="2">
        <f t="shared" si="3"/>
        <v>40047.955199999997</v>
      </c>
      <c r="R47" s="2"/>
      <c r="S47" s="2"/>
      <c r="T47" s="2"/>
    </row>
    <row r="48" spans="1:21" x14ac:dyDescent="0.2">
      <c r="A48" s="26" t="s">
        <v>50</v>
      </c>
      <c r="B48" s="37" t="s">
        <v>31</v>
      </c>
      <c r="C48" s="26">
        <v>55154.263599999998</v>
      </c>
      <c r="D48" s="26">
        <v>5.0000000000000001E-4</v>
      </c>
      <c r="E48">
        <f t="shared" si="0"/>
        <v>9474.178029080982</v>
      </c>
      <c r="F48">
        <f t="shared" si="1"/>
        <v>9474</v>
      </c>
      <c r="G48">
        <f t="shared" si="6"/>
        <v>6.2907999999879394E-2</v>
      </c>
      <c r="K48">
        <f>+G48</f>
        <v>6.2907999999879394E-2</v>
      </c>
      <c r="O48">
        <f t="shared" ca="1" si="2"/>
        <v>6.8028024332835779E-2</v>
      </c>
      <c r="Q48" s="2">
        <f t="shared" si="3"/>
        <v>40135.763599999998</v>
      </c>
      <c r="R48" s="2"/>
      <c r="S48" s="2"/>
      <c r="T48" s="2"/>
    </row>
    <row r="49" spans="1:20" x14ac:dyDescent="0.2">
      <c r="A49" s="26" t="s">
        <v>54</v>
      </c>
      <c r="B49" s="37" t="s">
        <v>31</v>
      </c>
      <c r="C49" s="26">
        <v>55674.425499999998</v>
      </c>
      <c r="D49" s="26">
        <v>1.4E-3</v>
      </c>
      <c r="E49">
        <f t="shared" si="0"/>
        <v>10946.231583832818</v>
      </c>
      <c r="F49">
        <f t="shared" si="1"/>
        <v>10946</v>
      </c>
      <c r="G49">
        <f t="shared" si="6"/>
        <v>8.183199999621138E-2</v>
      </c>
      <c r="J49">
        <f>+G49</f>
        <v>8.183199999621138E-2</v>
      </c>
      <c r="O49">
        <f t="shared" ca="1" si="2"/>
        <v>7.8375864051687366E-2</v>
      </c>
      <c r="Q49" s="2">
        <f t="shared" si="3"/>
        <v>40655.925499999998</v>
      </c>
      <c r="R49" s="2"/>
      <c r="S49" s="2"/>
      <c r="T49" s="2"/>
    </row>
    <row r="50" spans="1:20" x14ac:dyDescent="0.2">
      <c r="A50" s="26" t="s">
        <v>54</v>
      </c>
      <c r="B50" s="37" t="s">
        <v>31</v>
      </c>
      <c r="C50" s="26">
        <v>55674.601499999997</v>
      </c>
      <c r="D50" s="26">
        <v>1E-4</v>
      </c>
      <c r="E50">
        <f t="shared" si="0"/>
        <v>10946.72966226885</v>
      </c>
      <c r="F50">
        <f t="shared" si="1"/>
        <v>10946.5</v>
      </c>
      <c r="G50">
        <f t="shared" si="6"/>
        <v>8.1152999999176245E-2</v>
      </c>
      <c r="J50">
        <f>+G50</f>
        <v>8.1152999999176245E-2</v>
      </c>
      <c r="O50">
        <f t="shared" ca="1" si="2"/>
        <v>7.8379378942896219E-2</v>
      </c>
      <c r="Q50" s="2">
        <f t="shared" si="3"/>
        <v>40656.101499999997</v>
      </c>
      <c r="R50" s="2"/>
      <c r="S50" s="2"/>
      <c r="T50" s="2"/>
    </row>
    <row r="51" spans="1:20" x14ac:dyDescent="0.2">
      <c r="A51" s="26" t="s">
        <v>54</v>
      </c>
      <c r="B51" s="37" t="s">
        <v>31</v>
      </c>
      <c r="C51" s="26">
        <v>55687.499499999998</v>
      </c>
      <c r="D51" s="26">
        <v>1.9E-3</v>
      </c>
      <c r="E51">
        <f t="shared" si="0"/>
        <v>10983.230887655005</v>
      </c>
      <c r="F51">
        <f t="shared" si="1"/>
        <v>10983</v>
      </c>
      <c r="G51">
        <f t="shared" si="6"/>
        <v>8.1586000000243075E-2</v>
      </c>
      <c r="J51">
        <f>+G51</f>
        <v>8.1586000000243075E-2</v>
      </c>
      <c r="O51">
        <f t="shared" ca="1" si="2"/>
        <v>7.8635966001142199E-2</v>
      </c>
      <c r="Q51" s="2">
        <f t="shared" si="3"/>
        <v>40668.999499999998</v>
      </c>
      <c r="R51" s="2"/>
      <c r="S51" s="2"/>
      <c r="T51" s="2"/>
    </row>
    <row r="52" spans="1:20" x14ac:dyDescent="0.2">
      <c r="A52" s="27" t="s">
        <v>55</v>
      </c>
      <c r="B52" s="30" t="s">
        <v>32</v>
      </c>
      <c r="C52" s="28">
        <v>56159.412900000003</v>
      </c>
      <c r="D52" s="28">
        <v>1.4E-3</v>
      </c>
      <c r="E52">
        <f t="shared" si="0"/>
        <v>12318.74161615133</v>
      </c>
      <c r="F52">
        <f t="shared" si="1"/>
        <v>12318.5</v>
      </c>
      <c r="G52">
        <f t="shared" si="6"/>
        <v>8.5377000003063586E-2</v>
      </c>
      <c r="J52">
        <f>+G52</f>
        <v>8.5377000003063586E-2</v>
      </c>
      <c r="O52">
        <f t="shared" ca="1" si="2"/>
        <v>8.8024240419977987E-2</v>
      </c>
      <c r="Q52" s="2">
        <f t="shared" si="3"/>
        <v>41140.912900000003</v>
      </c>
      <c r="R52" s="2"/>
      <c r="S52" s="2"/>
      <c r="T52" s="2"/>
    </row>
    <row r="53" spans="1:20" x14ac:dyDescent="0.2">
      <c r="A53" s="27" t="s">
        <v>55</v>
      </c>
      <c r="B53" s="30" t="s">
        <v>31</v>
      </c>
      <c r="C53" s="28">
        <v>56159.589399999997</v>
      </c>
      <c r="D53" s="28">
        <v>1E-3</v>
      </c>
      <c r="E53">
        <f t="shared" si="0"/>
        <v>12319.241109582905</v>
      </c>
      <c r="F53">
        <f t="shared" si="1"/>
        <v>12319</v>
      </c>
      <c r="G53">
        <f t="shared" si="6"/>
        <v>8.5197999993397389E-2</v>
      </c>
      <c r="J53">
        <f>+G53</f>
        <v>8.5197999993397389E-2</v>
      </c>
      <c r="O53">
        <f t="shared" ca="1" si="2"/>
        <v>8.8027755311186839E-2</v>
      </c>
      <c r="Q53" s="2">
        <f t="shared" si="3"/>
        <v>41141.089399999997</v>
      </c>
      <c r="R53" s="2"/>
      <c r="S53" s="2"/>
      <c r="T53" s="2"/>
    </row>
    <row r="54" spans="1:20" x14ac:dyDescent="0.2">
      <c r="A54" s="41" t="s">
        <v>57</v>
      </c>
      <c r="B54" s="42" t="s">
        <v>32</v>
      </c>
      <c r="C54" s="41">
        <v>56483.453200000004</v>
      </c>
      <c r="D54" s="41">
        <v>2.0000000000000001E-4</v>
      </c>
      <c r="E54">
        <f t="shared" si="0"/>
        <v>13235.77278567346</v>
      </c>
      <c r="F54" s="40">
        <f>ROUND(2*E54,0)/2-0.5</f>
        <v>13235.5</v>
      </c>
      <c r="G54">
        <f t="shared" si="6"/>
        <v>9.6390999999130145E-2</v>
      </c>
      <c r="K54">
        <f>+G54</f>
        <v>9.6390999999130145E-2</v>
      </c>
      <c r="O54">
        <f t="shared" ca="1" si="2"/>
        <v>9.4470550897007122E-2</v>
      </c>
      <c r="Q54" s="2">
        <f t="shared" si="3"/>
        <v>41464.953200000004</v>
      </c>
      <c r="R54" s="2"/>
      <c r="S54" s="2"/>
      <c r="T54" s="2"/>
    </row>
    <row r="55" spans="1:20" x14ac:dyDescent="0.2">
      <c r="A55" s="41" t="s">
        <v>57</v>
      </c>
      <c r="B55" s="42" t="s">
        <v>32</v>
      </c>
      <c r="C55" s="41">
        <v>56513.4856</v>
      </c>
      <c r="D55" s="41">
        <v>1E-4</v>
      </c>
      <c r="E55">
        <f t="shared" si="0"/>
        <v>13320.764210800375</v>
      </c>
      <c r="F55" s="40">
        <f>ROUND(2*E55,0)/2-0.5</f>
        <v>13320.5</v>
      </c>
      <c r="G55">
        <f t="shared" si="6"/>
        <v>9.3360999999276828E-2</v>
      </c>
      <c r="K55">
        <f>+G55</f>
        <v>9.3360999999276828E-2</v>
      </c>
      <c r="O55">
        <f t="shared" ca="1" si="2"/>
        <v>9.5068082402511467E-2</v>
      </c>
      <c r="Q55" s="2">
        <f t="shared" si="3"/>
        <v>41494.9856</v>
      </c>
      <c r="R55" s="2"/>
      <c r="S55" s="2"/>
      <c r="T55" s="2"/>
    </row>
    <row r="56" spans="1:20" x14ac:dyDescent="0.2">
      <c r="A56" s="43" t="s">
        <v>58</v>
      </c>
      <c r="B56" s="39"/>
      <c r="C56" s="43">
        <v>56933.289299999997</v>
      </c>
      <c r="D56" s="43">
        <v>3.5000000000000001E-3</v>
      </c>
      <c r="E56">
        <f t="shared" si="0"/>
        <v>14508.80495135244</v>
      </c>
      <c r="F56" s="40">
        <f>ROUND(2*E56,0)/2-0.5</f>
        <v>14508.5</v>
      </c>
      <c r="G56">
        <f t="shared" si="6"/>
        <v>0.10775699999794597</v>
      </c>
      <c r="J56">
        <f>+G56</f>
        <v>0.10775699999794597</v>
      </c>
      <c r="O56">
        <f t="shared" ca="1" si="2"/>
        <v>0.10341946391473679</v>
      </c>
      <c r="Q56" s="2">
        <f t="shared" si="3"/>
        <v>41914.789299999997</v>
      </c>
      <c r="R56" s="2"/>
      <c r="S56" s="2"/>
      <c r="T56" s="2"/>
    </row>
    <row r="57" spans="1:20" x14ac:dyDescent="0.2">
      <c r="A57" s="43" t="s">
        <v>58</v>
      </c>
      <c r="B57" s="39"/>
      <c r="C57" s="43">
        <v>56933.465700000001</v>
      </c>
      <c r="D57" s="43">
        <v>1.2999999999999999E-3</v>
      </c>
      <c r="E57">
        <f t="shared" si="0"/>
        <v>14509.30416178493</v>
      </c>
      <c r="F57" s="40">
        <f>ROUND(2*E57,0)/2-0.5</f>
        <v>14509</v>
      </c>
      <c r="G57">
        <f t="shared" si="6"/>
        <v>0.10747799999808194</v>
      </c>
      <c r="J57">
        <f>+G57</f>
        <v>0.10747799999808194</v>
      </c>
      <c r="O57">
        <f t="shared" ca="1" si="2"/>
        <v>0.10342297880594563</v>
      </c>
      <c r="Q57" s="2">
        <f t="shared" si="3"/>
        <v>41914.965700000001</v>
      </c>
      <c r="R57" s="2"/>
      <c r="S57" s="2"/>
      <c r="T57" s="2"/>
    </row>
    <row r="58" spans="1:20" x14ac:dyDescent="0.2">
      <c r="A58" s="60" t="s">
        <v>222</v>
      </c>
      <c r="B58" s="61" t="s">
        <v>32</v>
      </c>
      <c r="C58" s="62">
        <v>58692.689440000002</v>
      </c>
      <c r="D58" s="62">
        <v>1.6799999999999999E-4</v>
      </c>
      <c r="E58">
        <f>+(C58-C$7)/C$8</f>
        <v>19487.891713220022</v>
      </c>
      <c r="F58" s="40">
        <f>ROUND(2*E58,0)/2-0.5</f>
        <v>19487.5</v>
      </c>
      <c r="G58">
        <f>+C58-(C$7+F58*C$8)</f>
        <v>0.13841500000125961</v>
      </c>
      <c r="J58">
        <f>+G58</f>
        <v>0.13841500000125961</v>
      </c>
      <c r="O58">
        <f ca="1">+C$11+C$12*$F58</f>
        <v>0.13842075057245554</v>
      </c>
      <c r="Q58" s="2">
        <f>+C58-15018.5</f>
        <v>43674.189440000002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6"/>
  <sheetViews>
    <sheetView workbookViewId="0">
      <selection activeCell="A33" sqref="A33:D44"/>
    </sheetView>
  </sheetViews>
  <sheetFormatPr defaultRowHeight="12.75" x14ac:dyDescent="0.2"/>
  <cols>
    <col min="1" max="1" width="19.7109375" style="14" customWidth="1"/>
    <col min="2" max="2" width="4.42578125" style="8" customWidth="1"/>
    <col min="3" max="3" width="12.7109375" style="14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14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44" t="s">
        <v>59</v>
      </c>
      <c r="I1" s="45" t="s">
        <v>60</v>
      </c>
      <c r="J1" s="46" t="s">
        <v>61</v>
      </c>
    </row>
    <row r="2" spans="1:16" x14ac:dyDescent="0.2">
      <c r="I2" s="47" t="s">
        <v>62</v>
      </c>
      <c r="J2" s="48" t="s">
        <v>63</v>
      </c>
    </row>
    <row r="3" spans="1:16" x14ac:dyDescent="0.2">
      <c r="A3" s="49" t="s">
        <v>64</v>
      </c>
      <c r="I3" s="47" t="s">
        <v>65</v>
      </c>
      <c r="J3" s="48" t="s">
        <v>66</v>
      </c>
    </row>
    <row r="4" spans="1:16" x14ac:dyDescent="0.2">
      <c r="I4" s="47" t="s">
        <v>67</v>
      </c>
      <c r="J4" s="48" t="s">
        <v>66</v>
      </c>
    </row>
    <row r="5" spans="1:16" ht="13.5" thickBot="1" x14ac:dyDescent="0.25">
      <c r="I5" s="50" t="s">
        <v>68</v>
      </c>
      <c r="J5" s="51" t="s">
        <v>69</v>
      </c>
    </row>
    <row r="10" spans="1:16" ht="13.5" thickBot="1" x14ac:dyDescent="0.25"/>
    <row r="11" spans="1:16" ht="12.75" customHeight="1" thickBot="1" x14ac:dyDescent="0.25">
      <c r="A11" s="14" t="str">
        <f t="shared" ref="A11:A44" si="0">P11</f>
        <v>IBVS 5583 </v>
      </c>
      <c r="B11" s="3" t="str">
        <f t="shared" ref="B11:B44" si="1">IF(H11=INT(H11),"I","II")</f>
        <v>II</v>
      </c>
      <c r="C11" s="14">
        <f t="shared" ref="C11:C44" si="2">1*G11</f>
        <v>52139.537900000003</v>
      </c>
      <c r="D11" s="8" t="str">
        <f t="shared" ref="D11:D44" si="3">VLOOKUP(F11,I$1:J$5,2,FALSE)</f>
        <v>vis</v>
      </c>
      <c r="E11" s="52">
        <f>VLOOKUP(C11,Active!C$21:E$973,3,FALSE)</f>
        <v>942.53108745239103</v>
      </c>
      <c r="F11" s="3" t="s">
        <v>68</v>
      </c>
      <c r="G11" s="8" t="str">
        <f t="shared" ref="G11:G44" si="4">MID(I11,3,LEN(I11)-3)</f>
        <v>52139.5379</v>
      </c>
      <c r="H11" s="14">
        <f t="shared" ref="H11:H44" si="5">1*K11</f>
        <v>-1020.5</v>
      </c>
      <c r="I11" s="53" t="s">
        <v>105</v>
      </c>
      <c r="J11" s="54" t="s">
        <v>106</v>
      </c>
      <c r="K11" s="53">
        <v>-1020.5</v>
      </c>
      <c r="L11" s="53" t="s">
        <v>107</v>
      </c>
      <c r="M11" s="54" t="s">
        <v>73</v>
      </c>
      <c r="N11" s="54" t="s">
        <v>74</v>
      </c>
      <c r="O11" s="55" t="s">
        <v>108</v>
      </c>
      <c r="P11" s="56" t="s">
        <v>109</v>
      </c>
    </row>
    <row r="12" spans="1:16" ht="12.75" customHeight="1" thickBot="1" x14ac:dyDescent="0.25">
      <c r="A12" s="14" t="str">
        <f t="shared" si="0"/>
        <v> BBS 129 </v>
      </c>
      <c r="B12" s="3" t="str">
        <f t="shared" si="1"/>
        <v>II</v>
      </c>
      <c r="C12" s="14">
        <f t="shared" si="2"/>
        <v>52820.466999999997</v>
      </c>
      <c r="D12" s="8" t="str">
        <f t="shared" si="3"/>
        <v>vis</v>
      </c>
      <c r="E12" s="52">
        <f>VLOOKUP(C12,Active!C$21:E$973,3,FALSE)</f>
        <v>2869.554389599205</v>
      </c>
      <c r="F12" s="3" t="s">
        <v>68</v>
      </c>
      <c r="G12" s="8" t="str">
        <f t="shared" si="4"/>
        <v>52820.467</v>
      </c>
      <c r="H12" s="14">
        <f t="shared" si="5"/>
        <v>906.5</v>
      </c>
      <c r="I12" s="53" t="s">
        <v>117</v>
      </c>
      <c r="J12" s="54" t="s">
        <v>118</v>
      </c>
      <c r="K12" s="53">
        <v>906.5</v>
      </c>
      <c r="L12" s="53" t="s">
        <v>119</v>
      </c>
      <c r="M12" s="54" t="s">
        <v>95</v>
      </c>
      <c r="N12" s="54"/>
      <c r="O12" s="55" t="s">
        <v>96</v>
      </c>
      <c r="P12" s="55" t="s">
        <v>120</v>
      </c>
    </row>
    <row r="13" spans="1:16" ht="12.75" customHeight="1" thickBot="1" x14ac:dyDescent="0.25">
      <c r="A13" s="14" t="str">
        <f t="shared" si="0"/>
        <v> BBS 130 </v>
      </c>
      <c r="B13" s="3" t="str">
        <f t="shared" si="1"/>
        <v>II</v>
      </c>
      <c r="C13" s="14">
        <f t="shared" si="2"/>
        <v>52820.468099999998</v>
      </c>
      <c r="D13" s="8" t="str">
        <f t="shared" si="3"/>
        <v>vis</v>
      </c>
      <c r="E13" s="52">
        <f>VLOOKUP(C13,Active!C$21:E$973,3,FALSE)</f>
        <v>2869.5575025894341</v>
      </c>
      <c r="F13" s="3" t="s">
        <v>68</v>
      </c>
      <c r="G13" s="8" t="str">
        <f t="shared" si="4"/>
        <v>52820.4681</v>
      </c>
      <c r="H13" s="14">
        <f t="shared" si="5"/>
        <v>906.5</v>
      </c>
      <c r="I13" s="53" t="s">
        <v>121</v>
      </c>
      <c r="J13" s="54" t="s">
        <v>122</v>
      </c>
      <c r="K13" s="53">
        <v>906.5</v>
      </c>
      <c r="L13" s="53" t="s">
        <v>123</v>
      </c>
      <c r="M13" s="54" t="s">
        <v>73</v>
      </c>
      <c r="N13" s="54" t="s">
        <v>74</v>
      </c>
      <c r="O13" s="55" t="s">
        <v>75</v>
      </c>
      <c r="P13" s="55" t="s">
        <v>124</v>
      </c>
    </row>
    <row r="14" spans="1:16" ht="12.75" customHeight="1" thickBot="1" x14ac:dyDescent="0.25">
      <c r="A14" s="14" t="str">
        <f t="shared" si="0"/>
        <v> BBS 130 </v>
      </c>
      <c r="B14" s="3" t="str">
        <f t="shared" si="1"/>
        <v>II</v>
      </c>
      <c r="C14" s="14">
        <f t="shared" si="2"/>
        <v>53082.637999999999</v>
      </c>
      <c r="D14" s="8" t="str">
        <f t="shared" si="3"/>
        <v>vis</v>
      </c>
      <c r="E14" s="52">
        <f>VLOOKUP(C14,Active!C$21:E$973,3,FALSE)</f>
        <v>3611.4959899025862</v>
      </c>
      <c r="F14" s="3" t="s">
        <v>68</v>
      </c>
      <c r="G14" s="8" t="str">
        <f t="shared" si="4"/>
        <v>53082.638</v>
      </c>
      <c r="H14" s="14">
        <f t="shared" si="5"/>
        <v>1648.5</v>
      </c>
      <c r="I14" s="53" t="s">
        <v>125</v>
      </c>
      <c r="J14" s="54" t="s">
        <v>126</v>
      </c>
      <c r="K14" s="53">
        <v>1648.5</v>
      </c>
      <c r="L14" s="53" t="s">
        <v>127</v>
      </c>
      <c r="M14" s="54" t="s">
        <v>95</v>
      </c>
      <c r="N14" s="54"/>
      <c r="O14" s="55" t="s">
        <v>96</v>
      </c>
      <c r="P14" s="55" t="s">
        <v>124</v>
      </c>
    </row>
    <row r="15" spans="1:16" ht="12.75" customHeight="1" thickBot="1" x14ac:dyDescent="0.25">
      <c r="A15" s="14" t="str">
        <f t="shared" si="0"/>
        <v>IBVS 5653 </v>
      </c>
      <c r="B15" s="3" t="str">
        <f t="shared" si="1"/>
        <v>I</v>
      </c>
      <c r="C15" s="14">
        <f t="shared" si="2"/>
        <v>53233.376799999998</v>
      </c>
      <c r="D15" s="8" t="str">
        <f t="shared" si="3"/>
        <v>vis</v>
      </c>
      <c r="E15" s="52">
        <f>VLOOKUP(C15,Active!C$21:E$973,3,FALSE)</f>
        <v>4038.0854544116651</v>
      </c>
      <c r="F15" s="3" t="s">
        <v>68</v>
      </c>
      <c r="G15" s="8" t="str">
        <f t="shared" si="4"/>
        <v>53233.3768</v>
      </c>
      <c r="H15" s="14">
        <f t="shared" si="5"/>
        <v>2075</v>
      </c>
      <c r="I15" s="53" t="s">
        <v>128</v>
      </c>
      <c r="J15" s="54" t="s">
        <v>129</v>
      </c>
      <c r="K15" s="53">
        <v>2075</v>
      </c>
      <c r="L15" s="53" t="s">
        <v>130</v>
      </c>
      <c r="M15" s="54" t="s">
        <v>73</v>
      </c>
      <c r="N15" s="54" t="s">
        <v>74</v>
      </c>
      <c r="O15" s="55" t="s">
        <v>75</v>
      </c>
      <c r="P15" s="56" t="s">
        <v>131</v>
      </c>
    </row>
    <row r="16" spans="1:16" ht="12.75" customHeight="1" thickBot="1" x14ac:dyDescent="0.25">
      <c r="A16" s="14" t="str">
        <f t="shared" si="0"/>
        <v>IBVS 5713 </v>
      </c>
      <c r="B16" s="3" t="str">
        <f t="shared" si="1"/>
        <v>I</v>
      </c>
      <c r="C16" s="14">
        <f t="shared" si="2"/>
        <v>53638.335400000004</v>
      </c>
      <c r="D16" s="8" t="str">
        <f t="shared" si="3"/>
        <v>vis</v>
      </c>
      <c r="E16" s="52">
        <f>VLOOKUP(C16,Active!C$21:E$973,3,FALSE)</f>
        <v>5184.1146938798684</v>
      </c>
      <c r="F16" s="3" t="s">
        <v>68</v>
      </c>
      <c r="G16" s="8" t="str">
        <f t="shared" si="4"/>
        <v>53638.3354</v>
      </c>
      <c r="H16" s="14">
        <f t="shared" si="5"/>
        <v>3221</v>
      </c>
      <c r="I16" s="53" t="s">
        <v>132</v>
      </c>
      <c r="J16" s="54" t="s">
        <v>133</v>
      </c>
      <c r="K16" s="53">
        <v>3221</v>
      </c>
      <c r="L16" s="53" t="s">
        <v>134</v>
      </c>
      <c r="M16" s="54" t="s">
        <v>73</v>
      </c>
      <c r="N16" s="54" t="s">
        <v>74</v>
      </c>
      <c r="O16" s="55" t="s">
        <v>75</v>
      </c>
      <c r="P16" s="56" t="s">
        <v>135</v>
      </c>
    </row>
    <row r="17" spans="1:16" ht="12.75" customHeight="1" thickBot="1" x14ac:dyDescent="0.25">
      <c r="A17" s="14" t="str">
        <f t="shared" si="0"/>
        <v>BAVM 183 </v>
      </c>
      <c r="B17" s="3" t="str">
        <f t="shared" si="1"/>
        <v>II</v>
      </c>
      <c r="C17" s="14">
        <f t="shared" si="2"/>
        <v>54002.470800000003</v>
      </c>
      <c r="D17" s="8" t="str">
        <f t="shared" si="3"/>
        <v>vis</v>
      </c>
      <c r="E17" s="52">
        <f>VLOOKUP(C17,Active!C$21:E$973,3,FALSE)</f>
        <v>6214.614640110035</v>
      </c>
      <c r="F17" s="3" t="s">
        <v>68</v>
      </c>
      <c r="G17" s="8" t="str">
        <f t="shared" si="4"/>
        <v>54002.4708</v>
      </c>
      <c r="H17" s="14">
        <f t="shared" si="5"/>
        <v>4251.5</v>
      </c>
      <c r="I17" s="53" t="s">
        <v>136</v>
      </c>
      <c r="J17" s="54" t="s">
        <v>137</v>
      </c>
      <c r="K17" s="53">
        <v>4251.5</v>
      </c>
      <c r="L17" s="53" t="s">
        <v>138</v>
      </c>
      <c r="M17" s="54" t="s">
        <v>139</v>
      </c>
      <c r="N17" s="54" t="s">
        <v>140</v>
      </c>
      <c r="O17" s="55" t="s">
        <v>141</v>
      </c>
      <c r="P17" s="56" t="s">
        <v>142</v>
      </c>
    </row>
    <row r="18" spans="1:16" ht="12.75" customHeight="1" thickBot="1" x14ac:dyDescent="0.25">
      <c r="A18" s="14" t="str">
        <f t="shared" si="0"/>
        <v> BBS 133 (=IBVS 5781) </v>
      </c>
      <c r="B18" s="3" t="str">
        <f t="shared" si="1"/>
        <v>II</v>
      </c>
      <c r="C18" s="14">
        <f t="shared" si="2"/>
        <v>54019.431700000001</v>
      </c>
      <c r="D18" s="8" t="str">
        <f t="shared" si="3"/>
        <v>vis</v>
      </c>
      <c r="E18" s="52">
        <f>VLOOKUP(C18,Active!C$21:E$973,3,FALSE)</f>
        <v>6262.6138363925538</v>
      </c>
      <c r="F18" s="3" t="s">
        <v>68</v>
      </c>
      <c r="G18" s="8" t="str">
        <f t="shared" si="4"/>
        <v>54019.4317</v>
      </c>
      <c r="H18" s="14">
        <f t="shared" si="5"/>
        <v>4299.5</v>
      </c>
      <c r="I18" s="53" t="s">
        <v>143</v>
      </c>
      <c r="J18" s="54" t="s">
        <v>144</v>
      </c>
      <c r="K18" s="53" t="s">
        <v>145</v>
      </c>
      <c r="L18" s="53" t="s">
        <v>146</v>
      </c>
      <c r="M18" s="54" t="s">
        <v>139</v>
      </c>
      <c r="N18" s="54" t="s">
        <v>147</v>
      </c>
      <c r="O18" s="55" t="s">
        <v>75</v>
      </c>
      <c r="P18" s="55" t="s">
        <v>148</v>
      </c>
    </row>
    <row r="19" spans="1:16" ht="12.75" customHeight="1" thickBot="1" x14ac:dyDescent="0.25">
      <c r="A19" s="14" t="str">
        <f t="shared" si="0"/>
        <v>BAVM 183 </v>
      </c>
      <c r="B19" s="3" t="str">
        <f t="shared" si="1"/>
        <v>I</v>
      </c>
      <c r="C19" s="14">
        <f t="shared" si="2"/>
        <v>54020.316700000003</v>
      </c>
      <c r="D19" s="8" t="str">
        <f t="shared" si="3"/>
        <v>vis</v>
      </c>
      <c r="E19" s="52">
        <f>VLOOKUP(C19,Active!C$21:E$973,3,FALSE)</f>
        <v>6265.1183785282974</v>
      </c>
      <c r="F19" s="3" t="s">
        <v>68</v>
      </c>
      <c r="G19" s="8" t="str">
        <f t="shared" si="4"/>
        <v>54020.3167</v>
      </c>
      <c r="H19" s="14">
        <f t="shared" si="5"/>
        <v>4302</v>
      </c>
      <c r="I19" s="53" t="s">
        <v>149</v>
      </c>
      <c r="J19" s="54" t="s">
        <v>150</v>
      </c>
      <c r="K19" s="53" t="s">
        <v>151</v>
      </c>
      <c r="L19" s="53" t="s">
        <v>152</v>
      </c>
      <c r="M19" s="54" t="s">
        <v>139</v>
      </c>
      <c r="N19" s="54" t="s">
        <v>140</v>
      </c>
      <c r="O19" s="55" t="s">
        <v>141</v>
      </c>
      <c r="P19" s="56" t="s">
        <v>142</v>
      </c>
    </row>
    <row r="20" spans="1:16" ht="12.75" customHeight="1" thickBot="1" x14ac:dyDescent="0.25">
      <c r="A20" s="14" t="str">
        <f t="shared" si="0"/>
        <v>BAVM 183 </v>
      </c>
      <c r="B20" s="3" t="str">
        <f t="shared" si="1"/>
        <v>II</v>
      </c>
      <c r="C20" s="14">
        <f t="shared" si="2"/>
        <v>54020.492899999997</v>
      </c>
      <c r="D20" s="8" t="str">
        <f t="shared" si="3"/>
        <v>vis</v>
      </c>
      <c r="E20" s="52">
        <f>VLOOKUP(C20,Active!C$21:E$973,3,FALSE)</f>
        <v>6265.6170229625377</v>
      </c>
      <c r="F20" s="3" t="s">
        <v>68</v>
      </c>
      <c r="G20" s="8" t="str">
        <f t="shared" si="4"/>
        <v>54020.4929</v>
      </c>
      <c r="H20" s="14">
        <f t="shared" si="5"/>
        <v>4302.5</v>
      </c>
      <c r="I20" s="53" t="s">
        <v>153</v>
      </c>
      <c r="J20" s="54" t="s">
        <v>154</v>
      </c>
      <c r="K20" s="53" t="s">
        <v>155</v>
      </c>
      <c r="L20" s="53" t="s">
        <v>156</v>
      </c>
      <c r="M20" s="54" t="s">
        <v>139</v>
      </c>
      <c r="N20" s="54" t="s">
        <v>140</v>
      </c>
      <c r="O20" s="55" t="s">
        <v>141</v>
      </c>
      <c r="P20" s="56" t="s">
        <v>142</v>
      </c>
    </row>
    <row r="21" spans="1:16" ht="12.75" customHeight="1" thickBot="1" x14ac:dyDescent="0.25">
      <c r="A21" s="14" t="str">
        <f t="shared" si="0"/>
        <v>BAVM 186 </v>
      </c>
      <c r="B21" s="3" t="str">
        <f t="shared" si="1"/>
        <v>I</v>
      </c>
      <c r="C21" s="14">
        <f t="shared" si="2"/>
        <v>54240.465100000001</v>
      </c>
      <c r="D21" s="8" t="str">
        <f t="shared" si="3"/>
        <v>vis</v>
      </c>
      <c r="E21" s="52">
        <f>VLOOKUP(C21,Active!C$21:E$973,3,FALSE)</f>
        <v>6888.1363942517228</v>
      </c>
      <c r="F21" s="3" t="s">
        <v>68</v>
      </c>
      <c r="G21" s="8" t="str">
        <f t="shared" si="4"/>
        <v>54240.4651</v>
      </c>
      <c r="H21" s="14">
        <f t="shared" si="5"/>
        <v>4925</v>
      </c>
      <c r="I21" s="53" t="s">
        <v>157</v>
      </c>
      <c r="J21" s="54" t="s">
        <v>158</v>
      </c>
      <c r="K21" s="53" t="s">
        <v>159</v>
      </c>
      <c r="L21" s="53" t="s">
        <v>160</v>
      </c>
      <c r="M21" s="54" t="s">
        <v>139</v>
      </c>
      <c r="N21" s="54" t="s">
        <v>140</v>
      </c>
      <c r="O21" s="55" t="s">
        <v>141</v>
      </c>
      <c r="P21" s="56" t="s">
        <v>161</v>
      </c>
    </row>
    <row r="22" spans="1:16" ht="12.75" customHeight="1" thickBot="1" x14ac:dyDescent="0.25">
      <c r="A22" s="14" t="str">
        <f t="shared" si="0"/>
        <v>IBVS 5837 </v>
      </c>
      <c r="B22" s="3" t="str">
        <f t="shared" si="1"/>
        <v>I</v>
      </c>
      <c r="C22" s="14">
        <f t="shared" si="2"/>
        <v>54407.256800000003</v>
      </c>
      <c r="D22" s="8" t="str">
        <f t="shared" si="3"/>
        <v>vis</v>
      </c>
      <c r="E22" s="52">
        <f>VLOOKUP(C22,Active!C$21:E$973,3,FALSE)</f>
        <v>7360.1554231119762</v>
      </c>
      <c r="F22" s="3" t="s">
        <v>68</v>
      </c>
      <c r="G22" s="8" t="str">
        <f t="shared" si="4"/>
        <v>54407.2568</v>
      </c>
      <c r="H22" s="14">
        <f t="shared" si="5"/>
        <v>5397</v>
      </c>
      <c r="I22" s="53" t="s">
        <v>162</v>
      </c>
      <c r="J22" s="54" t="s">
        <v>163</v>
      </c>
      <c r="K22" s="53" t="s">
        <v>164</v>
      </c>
      <c r="L22" s="53" t="s">
        <v>165</v>
      </c>
      <c r="M22" s="54" t="s">
        <v>139</v>
      </c>
      <c r="N22" s="54" t="s">
        <v>60</v>
      </c>
      <c r="O22" s="55" t="s">
        <v>75</v>
      </c>
      <c r="P22" s="56" t="s">
        <v>166</v>
      </c>
    </row>
    <row r="23" spans="1:16" ht="12.75" customHeight="1" thickBot="1" x14ac:dyDescent="0.25">
      <c r="A23" s="14" t="str">
        <f t="shared" si="0"/>
        <v>IBVS 5920 </v>
      </c>
      <c r="B23" s="3" t="str">
        <f t="shared" si="1"/>
        <v>I</v>
      </c>
      <c r="C23" s="14">
        <f t="shared" si="2"/>
        <v>55154.263599999998</v>
      </c>
      <c r="D23" s="8" t="str">
        <f t="shared" si="3"/>
        <v>vis</v>
      </c>
      <c r="E23" s="52">
        <f>VLOOKUP(C23,Active!C$21:E$973,3,FALSE)</f>
        <v>9474.178029080982</v>
      </c>
      <c r="F23" s="3" t="s">
        <v>68</v>
      </c>
      <c r="G23" s="8" t="str">
        <f t="shared" si="4"/>
        <v>55154.2636</v>
      </c>
      <c r="H23" s="14">
        <f t="shared" si="5"/>
        <v>7511</v>
      </c>
      <c r="I23" s="53" t="s">
        <v>172</v>
      </c>
      <c r="J23" s="54" t="s">
        <v>173</v>
      </c>
      <c r="K23" s="53" t="s">
        <v>174</v>
      </c>
      <c r="L23" s="53" t="s">
        <v>175</v>
      </c>
      <c r="M23" s="54" t="s">
        <v>139</v>
      </c>
      <c r="N23" s="54" t="s">
        <v>60</v>
      </c>
      <c r="O23" s="55" t="s">
        <v>75</v>
      </c>
      <c r="P23" s="56" t="s">
        <v>176</v>
      </c>
    </row>
    <row r="24" spans="1:16" ht="12.75" customHeight="1" thickBot="1" x14ac:dyDescent="0.25">
      <c r="A24" s="14" t="str">
        <f t="shared" si="0"/>
        <v>BAVM 220 </v>
      </c>
      <c r="B24" s="3" t="str">
        <f t="shared" si="1"/>
        <v>I</v>
      </c>
      <c r="C24" s="14">
        <f t="shared" si="2"/>
        <v>55674.425499999998</v>
      </c>
      <c r="D24" s="8" t="str">
        <f t="shared" si="3"/>
        <v>vis</v>
      </c>
      <c r="E24" s="52">
        <f>VLOOKUP(C24,Active!C$21:E$973,3,FALSE)</f>
        <v>10946.231583832818</v>
      </c>
      <c r="F24" s="3" t="s">
        <v>68</v>
      </c>
      <c r="G24" s="8" t="str">
        <f t="shared" si="4"/>
        <v>55674.4255</v>
      </c>
      <c r="H24" s="14">
        <f t="shared" si="5"/>
        <v>8983</v>
      </c>
      <c r="I24" s="53" t="s">
        <v>177</v>
      </c>
      <c r="J24" s="54" t="s">
        <v>178</v>
      </c>
      <c r="K24" s="53" t="s">
        <v>179</v>
      </c>
      <c r="L24" s="53" t="s">
        <v>180</v>
      </c>
      <c r="M24" s="54" t="s">
        <v>139</v>
      </c>
      <c r="N24" s="54" t="s">
        <v>140</v>
      </c>
      <c r="O24" s="55" t="s">
        <v>141</v>
      </c>
      <c r="P24" s="56" t="s">
        <v>181</v>
      </c>
    </row>
    <row r="25" spans="1:16" ht="12.75" customHeight="1" thickBot="1" x14ac:dyDescent="0.25">
      <c r="A25" s="14" t="str">
        <f t="shared" si="0"/>
        <v>BAVM 220 </v>
      </c>
      <c r="B25" s="3" t="str">
        <f t="shared" si="1"/>
        <v>II</v>
      </c>
      <c r="C25" s="14">
        <f t="shared" si="2"/>
        <v>55674.601499999997</v>
      </c>
      <c r="D25" s="8" t="str">
        <f t="shared" si="3"/>
        <v>vis</v>
      </c>
      <c r="E25" s="52">
        <f>VLOOKUP(C25,Active!C$21:E$973,3,FALSE)</f>
        <v>10946.72966226885</v>
      </c>
      <c r="F25" s="3" t="s">
        <v>68</v>
      </c>
      <c r="G25" s="8" t="str">
        <f t="shared" si="4"/>
        <v>55674.6015</v>
      </c>
      <c r="H25" s="14">
        <f t="shared" si="5"/>
        <v>8983.5</v>
      </c>
      <c r="I25" s="53" t="s">
        <v>182</v>
      </c>
      <c r="J25" s="54" t="s">
        <v>183</v>
      </c>
      <c r="K25" s="53" t="s">
        <v>184</v>
      </c>
      <c r="L25" s="53" t="s">
        <v>185</v>
      </c>
      <c r="M25" s="54" t="s">
        <v>139</v>
      </c>
      <c r="N25" s="54" t="s">
        <v>140</v>
      </c>
      <c r="O25" s="55" t="s">
        <v>141</v>
      </c>
      <c r="P25" s="56" t="s">
        <v>181</v>
      </c>
    </row>
    <row r="26" spans="1:16" ht="12.75" customHeight="1" thickBot="1" x14ac:dyDescent="0.25">
      <c r="A26" s="14" t="str">
        <f t="shared" si="0"/>
        <v>BAVM 220 </v>
      </c>
      <c r="B26" s="3" t="str">
        <f t="shared" si="1"/>
        <v>I</v>
      </c>
      <c r="C26" s="14">
        <f t="shared" si="2"/>
        <v>55687.499499999998</v>
      </c>
      <c r="D26" s="8" t="str">
        <f t="shared" si="3"/>
        <v>vis</v>
      </c>
      <c r="E26" s="52">
        <f>VLOOKUP(C26,Active!C$21:E$973,3,FALSE)</f>
        <v>10983.230887655005</v>
      </c>
      <c r="F26" s="3" t="s">
        <v>68</v>
      </c>
      <c r="G26" s="8" t="str">
        <f t="shared" si="4"/>
        <v>55687.4995</v>
      </c>
      <c r="H26" s="14">
        <f t="shared" si="5"/>
        <v>9020</v>
      </c>
      <c r="I26" s="53" t="s">
        <v>186</v>
      </c>
      <c r="J26" s="54" t="s">
        <v>187</v>
      </c>
      <c r="K26" s="53" t="s">
        <v>188</v>
      </c>
      <c r="L26" s="53" t="s">
        <v>189</v>
      </c>
      <c r="M26" s="54" t="s">
        <v>139</v>
      </c>
      <c r="N26" s="54" t="s">
        <v>140</v>
      </c>
      <c r="O26" s="55" t="s">
        <v>141</v>
      </c>
      <c r="P26" s="56" t="s">
        <v>181</v>
      </c>
    </row>
    <row r="27" spans="1:16" ht="12.75" customHeight="1" thickBot="1" x14ac:dyDescent="0.25">
      <c r="A27" s="14" t="str">
        <f t="shared" si="0"/>
        <v>BAVM 231 </v>
      </c>
      <c r="B27" s="3" t="str">
        <f t="shared" si="1"/>
        <v>II</v>
      </c>
      <c r="C27" s="14">
        <f t="shared" si="2"/>
        <v>56159.412900000003</v>
      </c>
      <c r="D27" s="8" t="str">
        <f t="shared" si="3"/>
        <v>vis</v>
      </c>
      <c r="E27" s="52">
        <f>VLOOKUP(C27,Active!C$21:E$973,3,FALSE)</f>
        <v>12318.74161615133</v>
      </c>
      <c r="F27" s="3" t="s">
        <v>68</v>
      </c>
      <c r="G27" s="8" t="str">
        <f t="shared" si="4"/>
        <v>56159.4129</v>
      </c>
      <c r="H27" s="14">
        <f t="shared" si="5"/>
        <v>10355.5</v>
      </c>
      <c r="I27" s="53" t="s">
        <v>190</v>
      </c>
      <c r="J27" s="54" t="s">
        <v>191</v>
      </c>
      <c r="K27" s="53" t="s">
        <v>192</v>
      </c>
      <c r="L27" s="53" t="s">
        <v>193</v>
      </c>
      <c r="M27" s="54" t="s">
        <v>139</v>
      </c>
      <c r="N27" s="54" t="s">
        <v>194</v>
      </c>
      <c r="O27" s="55" t="s">
        <v>195</v>
      </c>
      <c r="P27" s="56" t="s">
        <v>196</v>
      </c>
    </row>
    <row r="28" spans="1:16" ht="12.75" customHeight="1" thickBot="1" x14ac:dyDescent="0.25">
      <c r="A28" s="14" t="str">
        <f t="shared" si="0"/>
        <v>BAVM 231 </v>
      </c>
      <c r="B28" s="3" t="str">
        <f t="shared" si="1"/>
        <v>I</v>
      </c>
      <c r="C28" s="14">
        <f t="shared" si="2"/>
        <v>56159.589399999997</v>
      </c>
      <c r="D28" s="8" t="str">
        <f t="shared" si="3"/>
        <v>vis</v>
      </c>
      <c r="E28" s="52">
        <f>VLOOKUP(C28,Active!C$21:E$973,3,FALSE)</f>
        <v>12319.241109582905</v>
      </c>
      <c r="F28" s="3" t="s">
        <v>68</v>
      </c>
      <c r="G28" s="8" t="str">
        <f t="shared" si="4"/>
        <v>56159.5894</v>
      </c>
      <c r="H28" s="14">
        <f t="shared" si="5"/>
        <v>10356</v>
      </c>
      <c r="I28" s="53" t="s">
        <v>197</v>
      </c>
      <c r="J28" s="54" t="s">
        <v>198</v>
      </c>
      <c r="K28" s="53" t="s">
        <v>199</v>
      </c>
      <c r="L28" s="53" t="s">
        <v>200</v>
      </c>
      <c r="M28" s="54" t="s">
        <v>139</v>
      </c>
      <c r="N28" s="54" t="s">
        <v>194</v>
      </c>
      <c r="O28" s="55" t="s">
        <v>195</v>
      </c>
      <c r="P28" s="56" t="s">
        <v>196</v>
      </c>
    </row>
    <row r="29" spans="1:16" ht="12.75" customHeight="1" thickBot="1" x14ac:dyDescent="0.25">
      <c r="A29" s="14" t="str">
        <f t="shared" si="0"/>
        <v>IBVS 6125 </v>
      </c>
      <c r="B29" s="3" t="str">
        <f t="shared" si="1"/>
        <v>II</v>
      </c>
      <c r="C29" s="14">
        <f t="shared" si="2"/>
        <v>56483.453200000004</v>
      </c>
      <c r="D29" s="8" t="str">
        <f t="shared" si="3"/>
        <v>vis</v>
      </c>
      <c r="E29" s="52">
        <f>VLOOKUP(C29,Active!C$21:E$973,3,FALSE)</f>
        <v>13235.77278567346</v>
      </c>
      <c r="F29" s="3" t="s">
        <v>68</v>
      </c>
      <c r="G29" s="8" t="str">
        <f t="shared" si="4"/>
        <v>56483.4532</v>
      </c>
      <c r="H29" s="14">
        <f t="shared" si="5"/>
        <v>11272.5</v>
      </c>
      <c r="I29" s="53" t="s">
        <v>201</v>
      </c>
      <c r="J29" s="54" t="s">
        <v>202</v>
      </c>
      <c r="K29" s="53" t="s">
        <v>203</v>
      </c>
      <c r="L29" s="53" t="s">
        <v>204</v>
      </c>
      <c r="M29" s="54" t="s">
        <v>139</v>
      </c>
      <c r="N29" s="54" t="s">
        <v>147</v>
      </c>
      <c r="O29" s="55" t="s">
        <v>205</v>
      </c>
      <c r="P29" s="56" t="s">
        <v>206</v>
      </c>
    </row>
    <row r="30" spans="1:16" ht="12.75" customHeight="1" thickBot="1" x14ac:dyDescent="0.25">
      <c r="A30" s="14" t="str">
        <f t="shared" si="0"/>
        <v>IBVS 6125 </v>
      </c>
      <c r="B30" s="3" t="str">
        <f t="shared" si="1"/>
        <v>II</v>
      </c>
      <c r="C30" s="14">
        <f t="shared" si="2"/>
        <v>56513.4856</v>
      </c>
      <c r="D30" s="8" t="str">
        <f t="shared" si="3"/>
        <v>vis</v>
      </c>
      <c r="E30" s="52">
        <f>VLOOKUP(C30,Active!C$21:E$973,3,FALSE)</f>
        <v>13320.764210800375</v>
      </c>
      <c r="F30" s="3" t="s">
        <v>68</v>
      </c>
      <c r="G30" s="8" t="str">
        <f t="shared" si="4"/>
        <v>56513.4856</v>
      </c>
      <c r="H30" s="14">
        <f t="shared" si="5"/>
        <v>11357.5</v>
      </c>
      <c r="I30" s="53" t="s">
        <v>207</v>
      </c>
      <c r="J30" s="54" t="s">
        <v>208</v>
      </c>
      <c r="K30" s="53" t="s">
        <v>209</v>
      </c>
      <c r="L30" s="53" t="s">
        <v>210</v>
      </c>
      <c r="M30" s="54" t="s">
        <v>139</v>
      </c>
      <c r="N30" s="54" t="s">
        <v>211</v>
      </c>
      <c r="O30" s="55" t="s">
        <v>212</v>
      </c>
      <c r="P30" s="56" t="s">
        <v>206</v>
      </c>
    </row>
    <row r="31" spans="1:16" ht="12.75" customHeight="1" thickBot="1" x14ac:dyDescent="0.25">
      <c r="A31" s="14" t="str">
        <f t="shared" si="0"/>
        <v>BAVM 239 </v>
      </c>
      <c r="B31" s="3" t="str">
        <f t="shared" si="1"/>
        <v>II</v>
      </c>
      <c r="C31" s="14">
        <f t="shared" si="2"/>
        <v>56933.289299999997</v>
      </c>
      <c r="D31" s="8" t="str">
        <f t="shared" si="3"/>
        <v>vis</v>
      </c>
      <c r="E31" s="52">
        <f>VLOOKUP(C31,Active!C$21:E$973,3,FALSE)</f>
        <v>14508.80495135244</v>
      </c>
      <c r="F31" s="3" t="s">
        <v>68</v>
      </c>
      <c r="G31" s="8" t="str">
        <f t="shared" si="4"/>
        <v>56933.2893</v>
      </c>
      <c r="H31" s="14">
        <f t="shared" si="5"/>
        <v>12545.5</v>
      </c>
      <c r="I31" s="53" t="s">
        <v>213</v>
      </c>
      <c r="J31" s="54" t="s">
        <v>214</v>
      </c>
      <c r="K31" s="53" t="s">
        <v>215</v>
      </c>
      <c r="L31" s="53" t="s">
        <v>216</v>
      </c>
      <c r="M31" s="54" t="s">
        <v>139</v>
      </c>
      <c r="N31" s="54" t="s">
        <v>140</v>
      </c>
      <c r="O31" s="55" t="s">
        <v>141</v>
      </c>
      <c r="P31" s="56" t="s">
        <v>217</v>
      </c>
    </row>
    <row r="32" spans="1:16" ht="12.75" customHeight="1" thickBot="1" x14ac:dyDescent="0.25">
      <c r="A32" s="14" t="str">
        <f t="shared" si="0"/>
        <v>BAVM 239 </v>
      </c>
      <c r="B32" s="3" t="str">
        <f t="shared" si="1"/>
        <v>I</v>
      </c>
      <c r="C32" s="14">
        <f t="shared" si="2"/>
        <v>56933.465700000001</v>
      </c>
      <c r="D32" s="8" t="str">
        <f t="shared" si="3"/>
        <v>vis</v>
      </c>
      <c r="E32" s="52">
        <f>VLOOKUP(C32,Active!C$21:E$973,3,FALSE)</f>
        <v>14509.30416178493</v>
      </c>
      <c r="F32" s="3" t="s">
        <v>68</v>
      </c>
      <c r="G32" s="8" t="str">
        <f t="shared" si="4"/>
        <v>56933.4657</v>
      </c>
      <c r="H32" s="14">
        <f t="shared" si="5"/>
        <v>12546</v>
      </c>
      <c r="I32" s="53" t="s">
        <v>218</v>
      </c>
      <c r="J32" s="54" t="s">
        <v>219</v>
      </c>
      <c r="K32" s="53" t="s">
        <v>220</v>
      </c>
      <c r="L32" s="53" t="s">
        <v>221</v>
      </c>
      <c r="M32" s="54" t="s">
        <v>139</v>
      </c>
      <c r="N32" s="54" t="s">
        <v>140</v>
      </c>
      <c r="O32" s="55" t="s">
        <v>141</v>
      </c>
      <c r="P32" s="56" t="s">
        <v>217</v>
      </c>
    </row>
    <row r="33" spans="1:16" ht="12.75" customHeight="1" thickBot="1" x14ac:dyDescent="0.25">
      <c r="A33" s="14" t="str">
        <f t="shared" si="0"/>
        <v> BBS 124 </v>
      </c>
      <c r="B33" s="3" t="str">
        <f t="shared" si="1"/>
        <v>II</v>
      </c>
      <c r="C33" s="14">
        <f t="shared" si="2"/>
        <v>51801.361599999997</v>
      </c>
      <c r="D33" s="8" t="str">
        <f t="shared" si="3"/>
        <v>vis</v>
      </c>
      <c r="E33" s="52">
        <f>VLOOKUP(C33,Active!C$21:E$973,3,FALSE)</f>
        <v>-14.504836454826117</v>
      </c>
      <c r="F33" s="3" t="s">
        <v>68</v>
      </c>
      <c r="G33" s="8" t="str">
        <f t="shared" si="4"/>
        <v>51801.3616</v>
      </c>
      <c r="H33" s="14">
        <f t="shared" si="5"/>
        <v>-1977.5</v>
      </c>
      <c r="I33" s="53" t="s">
        <v>70</v>
      </c>
      <c r="J33" s="54" t="s">
        <v>71</v>
      </c>
      <c r="K33" s="53">
        <v>-1977.5</v>
      </c>
      <c r="L33" s="53" t="s">
        <v>72</v>
      </c>
      <c r="M33" s="54" t="s">
        <v>73</v>
      </c>
      <c r="N33" s="54" t="s">
        <v>74</v>
      </c>
      <c r="O33" s="55" t="s">
        <v>75</v>
      </c>
      <c r="P33" s="55" t="s">
        <v>76</v>
      </c>
    </row>
    <row r="34" spans="1:16" ht="12.75" customHeight="1" thickBot="1" x14ac:dyDescent="0.25">
      <c r="A34" s="14" t="str">
        <f t="shared" si="0"/>
        <v> BBS 124 </v>
      </c>
      <c r="B34" s="3" t="str">
        <f t="shared" si="1"/>
        <v>II</v>
      </c>
      <c r="C34" s="14">
        <f t="shared" si="2"/>
        <v>51806.312299999998</v>
      </c>
      <c r="D34" s="8" t="str">
        <f t="shared" si="3"/>
        <v>vis</v>
      </c>
      <c r="E34" s="52">
        <f>VLOOKUP(C34,Active!C$21:E$973,3,FALSE)</f>
        <v>-0.49439944759482751</v>
      </c>
      <c r="F34" s="3" t="s">
        <v>68</v>
      </c>
      <c r="G34" s="8" t="str">
        <f t="shared" si="4"/>
        <v>51806.3123</v>
      </c>
      <c r="H34" s="14">
        <f t="shared" si="5"/>
        <v>-1963.5</v>
      </c>
      <c r="I34" s="53" t="s">
        <v>77</v>
      </c>
      <c r="J34" s="54" t="s">
        <v>78</v>
      </c>
      <c r="K34" s="53">
        <v>-1963.5</v>
      </c>
      <c r="L34" s="53" t="s">
        <v>79</v>
      </c>
      <c r="M34" s="54" t="s">
        <v>73</v>
      </c>
      <c r="N34" s="54" t="s">
        <v>74</v>
      </c>
      <c r="O34" s="55" t="s">
        <v>75</v>
      </c>
      <c r="P34" s="55" t="s">
        <v>76</v>
      </c>
    </row>
    <row r="35" spans="1:16" ht="12.75" customHeight="1" thickBot="1" x14ac:dyDescent="0.25">
      <c r="A35" s="14" t="str">
        <f t="shared" si="0"/>
        <v> BBS 124 </v>
      </c>
      <c r="B35" s="3" t="str">
        <f t="shared" si="1"/>
        <v>I</v>
      </c>
      <c r="C35" s="14">
        <f t="shared" si="2"/>
        <v>51806.483699999997</v>
      </c>
      <c r="D35" s="8" t="str">
        <f t="shared" si="3"/>
        <v>vis</v>
      </c>
      <c r="E35" s="52">
        <f>VLOOKUP(C35,Active!C$21:E$973,3,FALSE)</f>
        <v>-9.3389706868005802E-3</v>
      </c>
      <c r="F35" s="3" t="s">
        <v>68</v>
      </c>
      <c r="G35" s="8" t="str">
        <f t="shared" si="4"/>
        <v>51806.4837</v>
      </c>
      <c r="H35" s="14">
        <f t="shared" si="5"/>
        <v>-1963</v>
      </c>
      <c r="I35" s="53" t="s">
        <v>80</v>
      </c>
      <c r="J35" s="54" t="s">
        <v>81</v>
      </c>
      <c r="K35" s="53">
        <v>-1963</v>
      </c>
      <c r="L35" s="53" t="s">
        <v>82</v>
      </c>
      <c r="M35" s="54" t="s">
        <v>73</v>
      </c>
      <c r="N35" s="54" t="s">
        <v>74</v>
      </c>
      <c r="O35" s="55" t="s">
        <v>75</v>
      </c>
      <c r="P35" s="55" t="s">
        <v>76</v>
      </c>
    </row>
    <row r="36" spans="1:16" ht="12.75" customHeight="1" thickBot="1" x14ac:dyDescent="0.25">
      <c r="A36" s="14" t="str">
        <f t="shared" si="0"/>
        <v> BBS 124 </v>
      </c>
      <c r="B36" s="3" t="str">
        <f t="shared" si="1"/>
        <v>I</v>
      </c>
      <c r="C36" s="14">
        <f t="shared" si="2"/>
        <v>51811.434600000001</v>
      </c>
      <c r="D36" s="8" t="str">
        <f t="shared" si="3"/>
        <v>vis</v>
      </c>
      <c r="E36" s="52">
        <f>VLOOKUP(C36,Active!C$21:E$973,3,FALSE)</f>
        <v>14.001664034773547</v>
      </c>
      <c r="F36" s="3" t="s">
        <v>68</v>
      </c>
      <c r="G36" s="8" t="str">
        <f t="shared" si="4"/>
        <v>51811.4346</v>
      </c>
      <c r="H36" s="14">
        <f t="shared" si="5"/>
        <v>-1949</v>
      </c>
      <c r="I36" s="53" t="s">
        <v>83</v>
      </c>
      <c r="J36" s="54" t="s">
        <v>84</v>
      </c>
      <c r="K36" s="53">
        <v>-1949</v>
      </c>
      <c r="L36" s="53" t="s">
        <v>85</v>
      </c>
      <c r="M36" s="54" t="s">
        <v>73</v>
      </c>
      <c r="N36" s="54" t="s">
        <v>74</v>
      </c>
      <c r="O36" s="55" t="s">
        <v>75</v>
      </c>
      <c r="P36" s="55" t="s">
        <v>76</v>
      </c>
    </row>
    <row r="37" spans="1:16" ht="12.75" customHeight="1" thickBot="1" x14ac:dyDescent="0.25">
      <c r="A37" s="14" t="str">
        <f t="shared" si="0"/>
        <v> BBS 124 </v>
      </c>
      <c r="B37" s="3" t="str">
        <f t="shared" si="1"/>
        <v>II</v>
      </c>
      <c r="C37" s="14">
        <f t="shared" si="2"/>
        <v>51814.437700000002</v>
      </c>
      <c r="D37" s="8" t="str">
        <f t="shared" si="3"/>
        <v>vis</v>
      </c>
      <c r="E37" s="52">
        <f>VLOOKUP(C37,Active!C$21:E$973,3,FALSE)</f>
        <v>22.500410348714997</v>
      </c>
      <c r="F37" s="3" t="s">
        <v>68</v>
      </c>
      <c r="G37" s="8" t="str">
        <f t="shared" si="4"/>
        <v>51814.4377</v>
      </c>
      <c r="H37" s="14">
        <f t="shared" si="5"/>
        <v>-1940.5</v>
      </c>
      <c r="I37" s="53" t="s">
        <v>86</v>
      </c>
      <c r="J37" s="54" t="s">
        <v>87</v>
      </c>
      <c r="K37" s="53">
        <v>-1940.5</v>
      </c>
      <c r="L37" s="53" t="s">
        <v>88</v>
      </c>
      <c r="M37" s="54" t="s">
        <v>73</v>
      </c>
      <c r="N37" s="54" t="s">
        <v>74</v>
      </c>
      <c r="O37" s="55" t="s">
        <v>75</v>
      </c>
      <c r="P37" s="55" t="s">
        <v>76</v>
      </c>
    </row>
    <row r="38" spans="1:16" ht="12.75" customHeight="1" thickBot="1" x14ac:dyDescent="0.25">
      <c r="A38" s="14" t="str">
        <f t="shared" si="0"/>
        <v> BBS 124 </v>
      </c>
      <c r="B38" s="3" t="str">
        <f t="shared" si="1"/>
        <v>I</v>
      </c>
      <c r="C38" s="14">
        <f t="shared" si="2"/>
        <v>51850.305699999997</v>
      </c>
      <c r="D38" s="8" t="str">
        <f t="shared" si="3"/>
        <v>vis</v>
      </c>
      <c r="E38" s="52">
        <f>VLOOKUP(C38,Active!C$21:E$973,3,FALSE)</f>
        <v>124.00653161947987</v>
      </c>
      <c r="F38" s="3" t="s">
        <v>68</v>
      </c>
      <c r="G38" s="8" t="str">
        <f t="shared" si="4"/>
        <v>51850.3057</v>
      </c>
      <c r="H38" s="14">
        <f t="shared" si="5"/>
        <v>-1839</v>
      </c>
      <c r="I38" s="53" t="s">
        <v>89</v>
      </c>
      <c r="J38" s="54" t="s">
        <v>90</v>
      </c>
      <c r="K38" s="53">
        <v>-1839</v>
      </c>
      <c r="L38" s="53" t="s">
        <v>91</v>
      </c>
      <c r="M38" s="54" t="s">
        <v>73</v>
      </c>
      <c r="N38" s="54" t="s">
        <v>74</v>
      </c>
      <c r="O38" s="55" t="s">
        <v>75</v>
      </c>
      <c r="P38" s="55" t="s">
        <v>76</v>
      </c>
    </row>
    <row r="39" spans="1:16" ht="12.75" customHeight="1" thickBot="1" x14ac:dyDescent="0.25">
      <c r="A39" s="14" t="str">
        <f t="shared" si="0"/>
        <v> BBS 124 </v>
      </c>
      <c r="B39" s="3" t="str">
        <f t="shared" si="1"/>
        <v>I</v>
      </c>
      <c r="C39" s="14">
        <f t="shared" si="2"/>
        <v>51967.627999999997</v>
      </c>
      <c r="D39" s="8" t="str">
        <f t="shared" si="3"/>
        <v>vis</v>
      </c>
      <c r="E39" s="52">
        <f>VLOOKUP(C39,Active!C$21:E$973,3,FALSE)</f>
        <v>456.02759807333069</v>
      </c>
      <c r="F39" s="3" t="s">
        <v>68</v>
      </c>
      <c r="G39" s="8" t="str">
        <f t="shared" si="4"/>
        <v>51967.628</v>
      </c>
      <c r="H39" s="14">
        <f t="shared" si="5"/>
        <v>-1507</v>
      </c>
      <c r="I39" s="53" t="s">
        <v>92</v>
      </c>
      <c r="J39" s="54" t="s">
        <v>93</v>
      </c>
      <c r="K39" s="53">
        <v>-1507</v>
      </c>
      <c r="L39" s="53" t="s">
        <v>94</v>
      </c>
      <c r="M39" s="54" t="s">
        <v>95</v>
      </c>
      <c r="N39" s="54"/>
      <c r="O39" s="55" t="s">
        <v>96</v>
      </c>
      <c r="P39" s="55" t="s">
        <v>76</v>
      </c>
    </row>
    <row r="40" spans="1:16" ht="12.75" customHeight="1" thickBot="1" x14ac:dyDescent="0.25">
      <c r="A40" s="14" t="str">
        <f t="shared" si="0"/>
        <v> BBS 125 </v>
      </c>
      <c r="B40" s="3" t="str">
        <f t="shared" si="1"/>
        <v>II</v>
      </c>
      <c r="C40" s="14">
        <f t="shared" si="2"/>
        <v>52080.538</v>
      </c>
      <c r="D40" s="8" t="str">
        <f t="shared" si="3"/>
        <v>vis</v>
      </c>
      <c r="E40" s="52">
        <f>VLOOKUP(C40,Active!C$21:E$973,3,FALSE)</f>
        <v>775.56189473564905</v>
      </c>
      <c r="F40" s="3" t="s">
        <v>68</v>
      </c>
      <c r="G40" s="8" t="str">
        <f t="shared" si="4"/>
        <v>52080.538</v>
      </c>
      <c r="H40" s="14">
        <f t="shared" si="5"/>
        <v>-1187.5</v>
      </c>
      <c r="I40" s="53" t="s">
        <v>97</v>
      </c>
      <c r="J40" s="54" t="s">
        <v>98</v>
      </c>
      <c r="K40" s="53">
        <v>-1187.5</v>
      </c>
      <c r="L40" s="53" t="s">
        <v>99</v>
      </c>
      <c r="M40" s="54" t="s">
        <v>95</v>
      </c>
      <c r="N40" s="54"/>
      <c r="O40" s="55" t="s">
        <v>96</v>
      </c>
      <c r="P40" s="55" t="s">
        <v>100</v>
      </c>
    </row>
    <row r="41" spans="1:16" ht="12.75" customHeight="1" thickBot="1" x14ac:dyDescent="0.25">
      <c r="A41" s="14" t="str">
        <f t="shared" si="0"/>
        <v> BBS 126 </v>
      </c>
      <c r="B41" s="3" t="str">
        <f t="shared" si="1"/>
        <v>I</v>
      </c>
      <c r="C41" s="14">
        <f t="shared" si="2"/>
        <v>52112.504399999998</v>
      </c>
      <c r="D41" s="8" t="str">
        <f t="shared" si="3"/>
        <v>vis</v>
      </c>
      <c r="E41" s="52">
        <f>VLOOKUP(C41,Active!C$21:E$973,3,FALSE)</f>
        <v>866.02652267671033</v>
      </c>
      <c r="F41" s="3" t="s">
        <v>68</v>
      </c>
      <c r="G41" s="8" t="str">
        <f t="shared" si="4"/>
        <v>52112.5044</v>
      </c>
      <c r="H41" s="14">
        <f t="shared" si="5"/>
        <v>-1097</v>
      </c>
      <c r="I41" s="53" t="s">
        <v>101</v>
      </c>
      <c r="J41" s="54" t="s">
        <v>102</v>
      </c>
      <c r="K41" s="53">
        <v>-1097</v>
      </c>
      <c r="L41" s="53" t="s">
        <v>103</v>
      </c>
      <c r="M41" s="54" t="s">
        <v>73</v>
      </c>
      <c r="N41" s="54" t="s">
        <v>74</v>
      </c>
      <c r="O41" s="55" t="s">
        <v>75</v>
      </c>
      <c r="P41" s="55" t="s">
        <v>104</v>
      </c>
    </row>
    <row r="42" spans="1:16" ht="12.75" customHeight="1" thickBot="1" x14ac:dyDescent="0.25">
      <c r="A42" s="14" t="str">
        <f t="shared" si="0"/>
        <v> BBS 128 </v>
      </c>
      <c r="B42" s="3" t="str">
        <f t="shared" si="1"/>
        <v>II</v>
      </c>
      <c r="C42" s="14">
        <f t="shared" si="2"/>
        <v>52443.435100000002</v>
      </c>
      <c r="D42" s="8" t="str">
        <f t="shared" si="3"/>
        <v>vis</v>
      </c>
      <c r="E42" s="52">
        <f>VLOOKUP(C42,Active!C$21:E$973,3,FALSE)</f>
        <v>1802.5574629695702</v>
      </c>
      <c r="F42" s="3" t="s">
        <v>68</v>
      </c>
      <c r="G42" s="8" t="str">
        <f t="shared" si="4"/>
        <v>52443.4351</v>
      </c>
      <c r="H42" s="14">
        <f t="shared" si="5"/>
        <v>-160.5</v>
      </c>
      <c r="I42" s="53" t="s">
        <v>110</v>
      </c>
      <c r="J42" s="54" t="s">
        <v>111</v>
      </c>
      <c r="K42" s="53">
        <v>-160.5</v>
      </c>
      <c r="L42" s="53" t="s">
        <v>112</v>
      </c>
      <c r="M42" s="54" t="s">
        <v>73</v>
      </c>
      <c r="N42" s="54" t="s">
        <v>74</v>
      </c>
      <c r="O42" s="55" t="s">
        <v>75</v>
      </c>
      <c r="P42" s="55" t="s">
        <v>113</v>
      </c>
    </row>
    <row r="43" spans="1:16" ht="12.75" customHeight="1" thickBot="1" x14ac:dyDescent="0.25">
      <c r="A43" s="14" t="str">
        <f t="shared" si="0"/>
        <v> BBS 128 </v>
      </c>
      <c r="B43" s="3" t="str">
        <f t="shared" si="1"/>
        <v>II</v>
      </c>
      <c r="C43" s="14">
        <f t="shared" si="2"/>
        <v>52502.434000000001</v>
      </c>
      <c r="D43" s="8" t="str">
        <f t="shared" si="3"/>
        <v>vis</v>
      </c>
      <c r="E43" s="52">
        <f>VLOOKUP(C43,Active!C$21:E$973,3,FALSE)</f>
        <v>1969.5238256951877</v>
      </c>
      <c r="F43" s="3" t="s">
        <v>68</v>
      </c>
      <c r="G43" s="8" t="str">
        <f t="shared" si="4"/>
        <v>52502.434</v>
      </c>
      <c r="H43" s="14">
        <f t="shared" si="5"/>
        <v>6.5</v>
      </c>
      <c r="I43" s="53" t="s">
        <v>114</v>
      </c>
      <c r="J43" s="54" t="s">
        <v>115</v>
      </c>
      <c r="K43" s="53">
        <v>6.5</v>
      </c>
      <c r="L43" s="53" t="s">
        <v>116</v>
      </c>
      <c r="M43" s="54" t="s">
        <v>95</v>
      </c>
      <c r="N43" s="54"/>
      <c r="O43" s="55" t="s">
        <v>96</v>
      </c>
      <c r="P43" s="55" t="s">
        <v>113</v>
      </c>
    </row>
    <row r="44" spans="1:16" ht="12.75" customHeight="1" thickBot="1" x14ac:dyDescent="0.25">
      <c r="A44" s="14" t="str">
        <f t="shared" si="0"/>
        <v>BAVM 212 </v>
      </c>
      <c r="B44" s="3" t="str">
        <f t="shared" si="1"/>
        <v>II</v>
      </c>
      <c r="C44" s="14">
        <f t="shared" si="2"/>
        <v>55066.455199999997</v>
      </c>
      <c r="D44" s="8" t="str">
        <f t="shared" si="3"/>
        <v>vis</v>
      </c>
      <c r="E44" s="52">
        <f>VLOOKUP(C44,Active!C$21:E$973,3,FALSE)</f>
        <v>9225.6810373615299</v>
      </c>
      <c r="F44" s="3" t="s">
        <v>68</v>
      </c>
      <c r="G44" s="8" t="str">
        <f t="shared" si="4"/>
        <v>55066.4552</v>
      </c>
      <c r="H44" s="14">
        <f t="shared" si="5"/>
        <v>7262.5</v>
      </c>
      <c r="I44" s="53" t="s">
        <v>167</v>
      </c>
      <c r="J44" s="54" t="s">
        <v>168</v>
      </c>
      <c r="K44" s="53" t="s">
        <v>169</v>
      </c>
      <c r="L44" s="53" t="s">
        <v>170</v>
      </c>
      <c r="M44" s="54" t="s">
        <v>139</v>
      </c>
      <c r="N44" s="54" t="s">
        <v>140</v>
      </c>
      <c r="O44" s="55" t="s">
        <v>141</v>
      </c>
      <c r="P44" s="56" t="s">
        <v>171</v>
      </c>
    </row>
    <row r="45" spans="1:16" x14ac:dyDescent="0.2">
      <c r="B45" s="3"/>
      <c r="E45" s="52"/>
      <c r="F45" s="3"/>
    </row>
    <row r="46" spans="1:16" x14ac:dyDescent="0.2">
      <c r="B46" s="3"/>
      <c r="E46" s="52"/>
      <c r="F46" s="3"/>
    </row>
    <row r="47" spans="1:16" x14ac:dyDescent="0.2">
      <c r="B47" s="3"/>
      <c r="E47" s="52"/>
      <c r="F47" s="3"/>
    </row>
    <row r="48" spans="1:16" x14ac:dyDescent="0.2">
      <c r="B48" s="3"/>
      <c r="E48" s="52"/>
      <c r="F48" s="3"/>
    </row>
    <row r="49" spans="2:6" x14ac:dyDescent="0.2">
      <c r="B49" s="3"/>
      <c r="E49" s="52"/>
      <c r="F49" s="3"/>
    </row>
    <row r="50" spans="2:6" x14ac:dyDescent="0.2">
      <c r="B50" s="3"/>
      <c r="E50" s="52"/>
      <c r="F50" s="3"/>
    </row>
    <row r="51" spans="2:6" x14ac:dyDescent="0.2">
      <c r="B51" s="3"/>
      <c r="E51" s="52"/>
      <c r="F51" s="3"/>
    </row>
    <row r="52" spans="2:6" x14ac:dyDescent="0.2">
      <c r="B52" s="3"/>
      <c r="E52" s="52"/>
      <c r="F52" s="3"/>
    </row>
    <row r="53" spans="2:6" x14ac:dyDescent="0.2">
      <c r="B53" s="3"/>
      <c r="E53" s="52"/>
      <c r="F53" s="3"/>
    </row>
    <row r="54" spans="2:6" x14ac:dyDescent="0.2">
      <c r="B54" s="3"/>
      <c r="E54" s="52"/>
      <c r="F54" s="3"/>
    </row>
    <row r="55" spans="2:6" x14ac:dyDescent="0.2">
      <c r="B55" s="3"/>
      <c r="E55" s="52"/>
      <c r="F55" s="3"/>
    </row>
    <row r="56" spans="2:6" x14ac:dyDescent="0.2">
      <c r="B56" s="3"/>
      <c r="E56" s="52"/>
      <c r="F56" s="3"/>
    </row>
    <row r="57" spans="2:6" x14ac:dyDescent="0.2">
      <c r="B57" s="3"/>
      <c r="E57" s="52"/>
      <c r="F57" s="3"/>
    </row>
    <row r="58" spans="2:6" x14ac:dyDescent="0.2">
      <c r="B58" s="3"/>
      <c r="E58" s="52"/>
      <c r="F58" s="3"/>
    </row>
    <row r="59" spans="2:6" x14ac:dyDescent="0.2">
      <c r="B59" s="3"/>
      <c r="E59" s="52"/>
      <c r="F59" s="3"/>
    </row>
    <row r="60" spans="2:6" x14ac:dyDescent="0.2">
      <c r="B60" s="3"/>
      <c r="E60" s="52"/>
      <c r="F60" s="3"/>
    </row>
    <row r="61" spans="2:6" x14ac:dyDescent="0.2">
      <c r="B61" s="3"/>
      <c r="E61" s="52"/>
      <c r="F61" s="3"/>
    </row>
    <row r="62" spans="2:6" x14ac:dyDescent="0.2">
      <c r="B62" s="3"/>
      <c r="E62" s="52"/>
      <c r="F62" s="3"/>
    </row>
    <row r="63" spans="2:6" x14ac:dyDescent="0.2">
      <c r="B63" s="3"/>
      <c r="E63" s="52"/>
      <c r="F63" s="3"/>
    </row>
    <row r="64" spans="2:6" x14ac:dyDescent="0.2">
      <c r="B64" s="3"/>
      <c r="E64" s="52"/>
      <c r="F64" s="3"/>
    </row>
    <row r="65" spans="2:6" x14ac:dyDescent="0.2">
      <c r="B65" s="3"/>
      <c r="E65" s="52"/>
      <c r="F65" s="3"/>
    </row>
    <row r="66" spans="2:6" x14ac:dyDescent="0.2">
      <c r="B66" s="3"/>
      <c r="E66" s="52"/>
      <c r="F66" s="3"/>
    </row>
    <row r="67" spans="2:6" x14ac:dyDescent="0.2">
      <c r="B67" s="3"/>
      <c r="E67" s="52"/>
      <c r="F67" s="3"/>
    </row>
    <row r="68" spans="2:6" x14ac:dyDescent="0.2">
      <c r="B68" s="3"/>
      <c r="E68" s="52"/>
      <c r="F68" s="3"/>
    </row>
    <row r="69" spans="2:6" x14ac:dyDescent="0.2">
      <c r="B69" s="3"/>
      <c r="E69" s="52"/>
      <c r="F69" s="3"/>
    </row>
    <row r="70" spans="2:6" x14ac:dyDescent="0.2">
      <c r="B70" s="3"/>
      <c r="E70" s="52"/>
      <c r="F70" s="3"/>
    </row>
    <row r="71" spans="2:6" x14ac:dyDescent="0.2">
      <c r="B71" s="3"/>
      <c r="E71" s="52"/>
      <c r="F71" s="3"/>
    </row>
    <row r="72" spans="2:6" x14ac:dyDescent="0.2">
      <c r="B72" s="3"/>
      <c r="E72" s="52"/>
      <c r="F72" s="3"/>
    </row>
    <row r="73" spans="2:6" x14ac:dyDescent="0.2">
      <c r="B73" s="3"/>
      <c r="E73" s="52"/>
      <c r="F73" s="3"/>
    </row>
    <row r="74" spans="2:6" x14ac:dyDescent="0.2">
      <c r="B74" s="3"/>
      <c r="E74" s="52"/>
      <c r="F74" s="3"/>
    </row>
    <row r="75" spans="2:6" x14ac:dyDescent="0.2">
      <c r="B75" s="3"/>
      <c r="E75" s="52"/>
      <c r="F75" s="3"/>
    </row>
    <row r="76" spans="2:6" x14ac:dyDescent="0.2">
      <c r="B76" s="3"/>
      <c r="E76" s="52"/>
      <c r="F76" s="3"/>
    </row>
    <row r="77" spans="2:6" x14ac:dyDescent="0.2">
      <c r="B77" s="3"/>
      <c r="E77" s="52"/>
      <c r="F77" s="3"/>
    </row>
    <row r="78" spans="2:6" x14ac:dyDescent="0.2">
      <c r="B78" s="3"/>
      <c r="E78" s="52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</sheetData>
  <phoneticPr fontId="8" type="noConversion"/>
  <hyperlinks>
    <hyperlink ref="P11" r:id="rId1" display="http://www.konkoly.hu/cgi-bin/IBVS?5583"/>
    <hyperlink ref="P15" r:id="rId2" display="http://www.konkoly.hu/cgi-bin/IBVS?5653"/>
    <hyperlink ref="P16" r:id="rId3" display="http://www.konkoly.hu/cgi-bin/IBVS?5713"/>
    <hyperlink ref="P17" r:id="rId4" display="http://www.bav-astro.de/sfs/BAVM_link.php?BAVMnr=183"/>
    <hyperlink ref="P19" r:id="rId5" display="http://www.bav-astro.de/sfs/BAVM_link.php?BAVMnr=183"/>
    <hyperlink ref="P20" r:id="rId6" display="http://www.bav-astro.de/sfs/BAVM_link.php?BAVMnr=183"/>
    <hyperlink ref="P21" r:id="rId7" display="http://www.bav-astro.de/sfs/BAVM_link.php?BAVMnr=186"/>
    <hyperlink ref="P22" r:id="rId8" display="http://www.konkoly.hu/cgi-bin/IBVS?5837"/>
    <hyperlink ref="P44" r:id="rId9" display="http://www.bav-astro.de/sfs/BAVM_link.php?BAVMnr=212"/>
    <hyperlink ref="P23" r:id="rId10" display="http://www.konkoly.hu/cgi-bin/IBVS?5920"/>
    <hyperlink ref="P24" r:id="rId11" display="http://www.bav-astro.de/sfs/BAVM_link.php?BAVMnr=220"/>
    <hyperlink ref="P25" r:id="rId12" display="http://www.bav-astro.de/sfs/BAVM_link.php?BAVMnr=220"/>
    <hyperlink ref="P26" r:id="rId13" display="http://www.bav-astro.de/sfs/BAVM_link.php?BAVMnr=220"/>
    <hyperlink ref="P27" r:id="rId14" display="http://www.bav-astro.de/sfs/BAVM_link.php?BAVMnr=231"/>
    <hyperlink ref="P28" r:id="rId15" display="http://www.bav-astro.de/sfs/BAVM_link.php?BAVMnr=231"/>
    <hyperlink ref="P29" r:id="rId16" display="http://www.konkoly.hu/cgi-bin/IBVS?6125"/>
    <hyperlink ref="P30" r:id="rId17" display="http://www.konkoly.hu/cgi-bin/IBVS?6125"/>
    <hyperlink ref="P31" r:id="rId18" display="http://www.bav-astro.de/sfs/BAVM_link.php?BAVMnr=239"/>
    <hyperlink ref="P32" r:id="rId19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2024-02-06T03:20:39Z</dcterms:modified>
</cp:coreProperties>
</file>