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F22DB3-C62B-41E8-8DB3-715911D33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3" r:id="rId2"/>
    <sheet name="A (old)" sheetId="1" r:id="rId3"/>
  </sheets>
  <calcPr calcId="181029"/>
</workbook>
</file>

<file path=xl/calcChain.xml><?xml version="1.0" encoding="utf-8"?>
<calcChain xmlns="http://schemas.openxmlformats.org/spreadsheetml/2006/main">
  <c r="E55" i="2" l="1"/>
  <c r="F55" i="2" s="1"/>
  <c r="G55" i="2" s="1"/>
  <c r="K55" i="2" s="1"/>
  <c r="Q55" i="2"/>
  <c r="E57" i="2"/>
  <c r="F57" i="2" s="1"/>
  <c r="G57" i="2" s="1"/>
  <c r="K57" i="2" s="1"/>
  <c r="Q57" i="2"/>
  <c r="E53" i="2"/>
  <c r="F53" i="2" s="1"/>
  <c r="G53" i="2" s="1"/>
  <c r="K53" i="2" s="1"/>
  <c r="E51" i="2"/>
  <c r="F51" i="2" s="1"/>
  <c r="G51" i="2" s="1"/>
  <c r="K51" i="2" s="1"/>
  <c r="E52" i="2"/>
  <c r="F52" i="2" s="1"/>
  <c r="G52" i="2" s="1"/>
  <c r="K52" i="2" s="1"/>
  <c r="E54" i="2"/>
  <c r="F54" i="2" s="1"/>
  <c r="G54" i="2" s="1"/>
  <c r="K54" i="2" s="1"/>
  <c r="E56" i="2"/>
  <c r="F56" i="2" s="1"/>
  <c r="G56" i="2" s="1"/>
  <c r="K56" i="2" s="1"/>
  <c r="Q53" i="2"/>
  <c r="Q56" i="2"/>
  <c r="C19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/>
  <c r="G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J27" i="1" s="1"/>
  <c r="Q27" i="1"/>
  <c r="A11" i="3"/>
  <c r="D11" i="3"/>
  <c r="G11" i="3"/>
  <c r="C11" i="3" s="1"/>
  <c r="E11" i="3" s="1"/>
  <c r="H11" i="3"/>
  <c r="B11" i="3" s="1"/>
  <c r="A12" i="3"/>
  <c r="D12" i="3"/>
  <c r="G12" i="3"/>
  <c r="C12" i="3" s="1"/>
  <c r="H12" i="3"/>
  <c r="B12" i="3" s="1"/>
  <c r="A13" i="3"/>
  <c r="B13" i="3"/>
  <c r="D13" i="3"/>
  <c r="G13" i="3"/>
  <c r="C13" i="3" s="1"/>
  <c r="E13" i="3" s="1"/>
  <c r="H13" i="3"/>
  <c r="A14" i="3"/>
  <c r="D14" i="3"/>
  <c r="G14" i="3"/>
  <c r="C14" i="3" s="1"/>
  <c r="H14" i="3"/>
  <c r="B14" i="3" s="1"/>
  <c r="A15" i="3"/>
  <c r="B15" i="3"/>
  <c r="D15" i="3"/>
  <c r="E50" i="2"/>
  <c r="F50" i="2" s="1"/>
  <c r="G50" i="2" s="1"/>
  <c r="J50" i="2" s="1"/>
  <c r="G15" i="3"/>
  <c r="C15" i="3" s="1"/>
  <c r="E15" i="3" s="1"/>
  <c r="H15" i="3"/>
  <c r="A16" i="3"/>
  <c r="D16" i="3"/>
  <c r="G16" i="3"/>
  <c r="C16" i="3" s="1"/>
  <c r="E16" i="3" s="1"/>
  <c r="H16" i="3"/>
  <c r="B16" i="3" s="1"/>
  <c r="A17" i="3"/>
  <c r="D17" i="3"/>
  <c r="G17" i="3"/>
  <c r="C17" i="3"/>
  <c r="H17" i="3"/>
  <c r="B17" i="3" s="1"/>
  <c r="A18" i="3"/>
  <c r="B18" i="3"/>
  <c r="D18" i="3"/>
  <c r="E42" i="2"/>
  <c r="G18" i="3"/>
  <c r="C18" i="3" s="1"/>
  <c r="E18" i="3" s="1"/>
  <c r="H18" i="3"/>
  <c r="A19" i="3"/>
  <c r="D19" i="3"/>
  <c r="G19" i="3"/>
  <c r="C19" i="3"/>
  <c r="E19" i="3"/>
  <c r="H19" i="3"/>
  <c r="B19" i="3" s="1"/>
  <c r="A20" i="3"/>
  <c r="D20" i="3"/>
  <c r="E43" i="2"/>
  <c r="G20" i="3"/>
  <c r="C20" i="3"/>
  <c r="E20" i="3"/>
  <c r="H20" i="3"/>
  <c r="B20" i="3" s="1"/>
  <c r="A21" i="3"/>
  <c r="D21" i="3"/>
  <c r="E44" i="2"/>
  <c r="F44" i="2" s="1"/>
  <c r="G44" i="2" s="1"/>
  <c r="J44" i="2" s="1"/>
  <c r="G21" i="3"/>
  <c r="C21" i="3" s="1"/>
  <c r="H21" i="3"/>
  <c r="B21" i="3" s="1"/>
  <c r="A22" i="3"/>
  <c r="D22" i="3"/>
  <c r="E45" i="2"/>
  <c r="G22" i="3"/>
  <c r="C22" i="3" s="1"/>
  <c r="H22" i="3"/>
  <c r="B22" i="3" s="1"/>
  <c r="A23" i="3"/>
  <c r="D23" i="3"/>
  <c r="E46" i="2"/>
  <c r="F46" i="2" s="1"/>
  <c r="G46" i="2" s="1"/>
  <c r="J46" i="2" s="1"/>
  <c r="G23" i="3"/>
  <c r="C23" i="3" s="1"/>
  <c r="E23" i="3" s="1"/>
  <c r="H23" i="3"/>
  <c r="B23" i="3" s="1"/>
  <c r="A24" i="3"/>
  <c r="D24" i="3"/>
  <c r="E47" i="2"/>
  <c r="F47" i="2" s="1"/>
  <c r="G47" i="2" s="1"/>
  <c r="J47" i="2" s="1"/>
  <c r="G24" i="3"/>
  <c r="C24" i="3" s="1"/>
  <c r="E24" i="3" s="1"/>
  <c r="H24" i="3"/>
  <c r="B24" i="3"/>
  <c r="A25" i="3"/>
  <c r="D25" i="3"/>
  <c r="E48" i="2"/>
  <c r="F48" i="2" s="1"/>
  <c r="G48" i="2" s="1"/>
  <c r="J48" i="2" s="1"/>
  <c r="G25" i="3"/>
  <c r="C25" i="3"/>
  <c r="E25" i="3" s="1"/>
  <c r="H25" i="3"/>
  <c r="B25" i="3" s="1"/>
  <c r="A26" i="3"/>
  <c r="D26" i="3"/>
  <c r="E49" i="2"/>
  <c r="F49" i="2" s="1"/>
  <c r="G49" i="2" s="1"/>
  <c r="J49" i="2" s="1"/>
  <c r="G26" i="3"/>
  <c r="C26" i="3"/>
  <c r="H26" i="3"/>
  <c r="B26" i="3" s="1"/>
  <c r="A27" i="3"/>
  <c r="D27" i="3"/>
  <c r="G27" i="3"/>
  <c r="C27" i="3" s="1"/>
  <c r="H27" i="3"/>
  <c r="B27" i="3" s="1"/>
  <c r="A28" i="3"/>
  <c r="D28" i="3"/>
  <c r="G28" i="3"/>
  <c r="C28" i="3" s="1"/>
  <c r="H28" i="3"/>
  <c r="B28" i="3" s="1"/>
  <c r="A29" i="3"/>
  <c r="D29" i="3"/>
  <c r="G29" i="3"/>
  <c r="C29" i="3" s="1"/>
  <c r="H29" i="3"/>
  <c r="B29" i="3" s="1"/>
  <c r="A30" i="3"/>
  <c r="D30" i="3"/>
  <c r="G30" i="3"/>
  <c r="C30" i="3" s="1"/>
  <c r="H30" i="3"/>
  <c r="B30" i="3" s="1"/>
  <c r="A31" i="3"/>
  <c r="C31" i="3"/>
  <c r="D31" i="3"/>
  <c r="G31" i="3"/>
  <c r="H31" i="3"/>
  <c r="B31" i="3" s="1"/>
  <c r="A32" i="3"/>
  <c r="D32" i="3"/>
  <c r="G32" i="3"/>
  <c r="C32" i="3"/>
  <c r="H32" i="3"/>
  <c r="B32" i="3" s="1"/>
  <c r="A33" i="3"/>
  <c r="B33" i="3"/>
  <c r="D33" i="3"/>
  <c r="G33" i="3"/>
  <c r="C33" i="3" s="1"/>
  <c r="H33" i="3"/>
  <c r="A34" i="3"/>
  <c r="D34" i="3"/>
  <c r="G34" i="3"/>
  <c r="C34" i="3"/>
  <c r="H34" i="3"/>
  <c r="B34" i="3"/>
  <c r="A35" i="3"/>
  <c r="C35" i="3"/>
  <c r="D35" i="3"/>
  <c r="G35" i="3"/>
  <c r="H35" i="3"/>
  <c r="B35" i="3" s="1"/>
  <c r="C9" i="2"/>
  <c r="D9" i="2"/>
  <c r="E41" i="2"/>
  <c r="F41" i="2" s="1"/>
  <c r="G41" i="2" s="1"/>
  <c r="J41" i="2" s="1"/>
  <c r="F42" i="2"/>
  <c r="G42" i="2" s="1"/>
  <c r="J42" i="2" s="1"/>
  <c r="F43" i="2"/>
  <c r="F45" i="2"/>
  <c r="G45" i="2" s="1"/>
  <c r="J45" i="2" s="1"/>
  <c r="F16" i="2"/>
  <c r="F17" i="2" s="1"/>
  <c r="C17" i="2"/>
  <c r="E21" i="2"/>
  <c r="F21" i="2" s="1"/>
  <c r="G21" i="2" s="1"/>
  <c r="K21" i="2" s="1"/>
  <c r="Q21" i="2"/>
  <c r="E22" i="2"/>
  <c r="F22" i="2"/>
  <c r="G22" i="2" s="1"/>
  <c r="K22" i="2" s="1"/>
  <c r="Q22" i="2"/>
  <c r="E23" i="2"/>
  <c r="F23" i="2" s="1"/>
  <c r="G23" i="2" s="1"/>
  <c r="K23" i="2" s="1"/>
  <c r="Q23" i="2"/>
  <c r="E24" i="2"/>
  <c r="F24" i="2"/>
  <c r="G24" i="2" s="1"/>
  <c r="K24" i="2" s="1"/>
  <c r="Q24" i="2"/>
  <c r="E25" i="2"/>
  <c r="F25" i="2"/>
  <c r="G25" i="2" s="1"/>
  <c r="K25" i="2" s="1"/>
  <c r="Q25" i="2"/>
  <c r="E26" i="2"/>
  <c r="F26" i="2" s="1"/>
  <c r="G26" i="2" s="1"/>
  <c r="K26" i="2" s="1"/>
  <c r="Q26" i="2"/>
  <c r="E27" i="2"/>
  <c r="F27" i="2" s="1"/>
  <c r="G27" i="2" s="1"/>
  <c r="K27" i="2" s="1"/>
  <c r="Q27" i="2"/>
  <c r="E28" i="2"/>
  <c r="F28" i="2"/>
  <c r="G28" i="2"/>
  <c r="K28" i="2" s="1"/>
  <c r="Q28" i="2"/>
  <c r="E29" i="2"/>
  <c r="F29" i="2" s="1"/>
  <c r="G29" i="2" s="1"/>
  <c r="K29" i="2" s="1"/>
  <c r="Q29" i="2"/>
  <c r="E30" i="2"/>
  <c r="F30" i="2"/>
  <c r="G30" i="2" s="1"/>
  <c r="K30" i="2" s="1"/>
  <c r="Q30" i="2"/>
  <c r="E31" i="2"/>
  <c r="E34" i="3" s="1"/>
  <c r="Q31" i="2"/>
  <c r="E32" i="2"/>
  <c r="F32" i="2"/>
  <c r="G32" i="2" s="1"/>
  <c r="K32" i="2" s="1"/>
  <c r="Q32" i="2"/>
  <c r="E33" i="2"/>
  <c r="F33" i="2"/>
  <c r="G33" i="2"/>
  <c r="K33" i="2" s="1"/>
  <c r="Q33" i="2"/>
  <c r="E34" i="2"/>
  <c r="F34" i="2" s="1"/>
  <c r="G34" i="2" s="1"/>
  <c r="K34" i="2" s="1"/>
  <c r="Q34" i="2"/>
  <c r="E35" i="2"/>
  <c r="F35" i="2" s="1"/>
  <c r="G35" i="2" s="1"/>
  <c r="K35" i="2" s="1"/>
  <c r="Q35" i="2"/>
  <c r="E36" i="2"/>
  <c r="F36" i="2"/>
  <c r="G36" i="2"/>
  <c r="J36" i="2" s="1"/>
  <c r="Q36" i="2"/>
  <c r="E37" i="2"/>
  <c r="F37" i="2" s="1"/>
  <c r="G37" i="2" s="1"/>
  <c r="J37" i="2" s="1"/>
  <c r="Q37" i="2"/>
  <c r="E38" i="2"/>
  <c r="F38" i="2"/>
  <c r="G38" i="2" s="1"/>
  <c r="K38" i="2" s="1"/>
  <c r="Q38" i="2"/>
  <c r="E39" i="2"/>
  <c r="F39" i="2" s="1"/>
  <c r="G39" i="2" s="1"/>
  <c r="K39" i="2" s="1"/>
  <c r="Q39" i="2"/>
  <c r="E40" i="2"/>
  <c r="F40" i="2"/>
  <c r="G40" i="2" s="1"/>
  <c r="J40" i="2" s="1"/>
  <c r="Q40" i="2"/>
  <c r="Q41" i="2"/>
  <c r="Q42" i="2"/>
  <c r="G43" i="2"/>
  <c r="J43" i="2" s="1"/>
  <c r="Q43" i="2"/>
  <c r="Q44" i="2"/>
  <c r="Q45" i="2"/>
  <c r="Q46" i="2"/>
  <c r="Q47" i="2"/>
  <c r="Q48" i="2"/>
  <c r="Q49" i="2"/>
  <c r="Q50" i="2"/>
  <c r="Q51" i="2"/>
  <c r="Q52" i="2"/>
  <c r="Q54" i="2"/>
  <c r="C12" i="2"/>
  <c r="C11" i="2"/>
  <c r="E29" i="3" l="1"/>
  <c r="E27" i="3"/>
  <c r="E31" i="3"/>
  <c r="E21" i="3"/>
  <c r="E17" i="3"/>
  <c r="E32" i="3"/>
  <c r="E14" i="3"/>
  <c r="E12" i="3"/>
  <c r="E35" i="3"/>
  <c r="E30" i="3"/>
  <c r="E28" i="3"/>
  <c r="E26" i="3"/>
  <c r="E22" i="3"/>
  <c r="E33" i="3"/>
  <c r="O57" i="2"/>
  <c r="O55" i="2"/>
  <c r="O44" i="2"/>
  <c r="O45" i="2"/>
  <c r="O49" i="2"/>
  <c r="O39" i="2"/>
  <c r="O48" i="2"/>
  <c r="O54" i="2"/>
  <c r="O47" i="2"/>
  <c r="O56" i="2"/>
  <c r="O53" i="2"/>
  <c r="O38" i="2"/>
  <c r="O50" i="2"/>
  <c r="O40" i="2"/>
  <c r="O52" i="2"/>
  <c r="O43" i="2"/>
  <c r="O42" i="2"/>
  <c r="O46" i="2"/>
  <c r="O51" i="2"/>
  <c r="O41" i="2"/>
  <c r="C16" i="2"/>
  <c r="D18" i="2" s="1"/>
  <c r="H23" i="1"/>
  <c r="C11" i="1"/>
  <c r="C12" i="1"/>
  <c r="C16" i="1" s="1"/>
  <c r="D18" i="1" s="1"/>
  <c r="F31" i="2"/>
  <c r="G31" i="2" s="1"/>
  <c r="K31" i="2" s="1"/>
  <c r="C15" i="2" l="1"/>
  <c r="C18" i="2" s="1"/>
  <c r="O22" i="1"/>
  <c r="O26" i="1"/>
  <c r="C15" i="1"/>
  <c r="C18" i="1" s="1"/>
  <c r="O21" i="1"/>
  <c r="O25" i="1"/>
  <c r="O24" i="1"/>
  <c r="O23" i="1"/>
  <c r="O27" i="1"/>
  <c r="F18" i="2" l="1"/>
  <c r="F19" i="2" s="1"/>
</calcChain>
</file>

<file path=xl/sharedStrings.xml><?xml version="1.0" encoding="utf-8"?>
<sst xmlns="http://schemas.openxmlformats.org/spreadsheetml/2006/main" count="395" uniqueCount="180">
  <si>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</si>
  <si>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</si>
  <si>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</si>
  <si>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</si>
  <si>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</si>
  <si>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</si>
  <si>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</si>
  <si>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</si>
  <si>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</si>
  <si>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</si>
  <si>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</si>
  <si>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</si>
  <si>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</si>
  <si>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</si>
  <si>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</si>
  <si>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</si>
  <si>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</si>
  <si>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</si>
  <si>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</si>
  <si>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</si>
  <si>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</si>
  <si>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</si>
  <si>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</si>
  <si>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</si>
  <si>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</si>
  <si>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</si>
  <si>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</si>
  <si>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</si>
  <si>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</si>
  <si>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</si>
  <si>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IBVS 5543</t>
  </si>
  <si>
    <t>I</t>
  </si>
  <si>
    <t>IBVS 4996</t>
  </si>
  <si>
    <t>not avail.</t>
  </si>
  <si>
    <t>IBVS 5653</t>
  </si>
  <si>
    <t>BBSAG</t>
  </si>
  <si>
    <t>BBSAG 164</t>
  </si>
  <si>
    <t>BBSAG 163</t>
  </si>
  <si>
    <t>BBSAG 165</t>
  </si>
  <si>
    <t>IBVS 5713</t>
  </si>
  <si>
    <t>ROTSE1 J192537.72+532520.0</t>
  </si>
  <si>
    <t>VAR 3</t>
  </si>
  <si>
    <t>II</t>
  </si>
  <si>
    <t>V2282 Cyg / GSC 3921-1531</t>
  </si>
  <si>
    <t>e</t>
  </si>
  <si>
    <t>RHN 2007</t>
  </si>
  <si>
    <t>Nelson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</si>
  <si>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</si>
  <si>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</si>
  <si>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</si>
  <si>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</si>
  <si>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</si>
  <si>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</si>
  <si>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</si>
  <si>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</si>
  <si>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IBVS 5837</t>
  </si>
  <si>
    <t>IBVS 5874</t>
  </si>
  <si>
    <t>Add cycle</t>
  </si>
  <si>
    <t>Old Cycle</t>
  </si>
  <si>
    <t>IBVS 5820</t>
  </si>
  <si>
    <t>IBVS 6070</t>
  </si>
  <si>
    <t>BAD?</t>
  </si>
  <si>
    <t>IBVS 6118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</si>
  <si>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</si>
  <si>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</si>
  <si>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</si>
  <si>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</si>
  <si>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</si>
  <si>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</si>
  <si>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</si>
  <si>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</si>
  <si>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</si>
  <si>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</si>
  <si>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</si>
  <si>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</si>
  <si>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</si>
  <si>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2451801.4001 </t>
  </si>
  <si>
    <t> 13.09.2000 21:36 </t>
  </si>
  <si>
    <t> 0.0006 </t>
  </si>
  <si>
    <t>E </t>
  </si>
  <si>
    <t>?</t>
  </si>
  <si>
    <t> E.Blättler </t>
  </si>
  <si>
    <t> BBS 124 </t>
  </si>
  <si>
    <t>2451805.4409 </t>
  </si>
  <si>
    <t> 17.09.2000 22:34 </t>
  </si>
  <si>
    <t> 0.0100 </t>
  </si>
  <si>
    <t>2451809.4694 </t>
  </si>
  <si>
    <t> 21.09.2000 23:15 </t>
  </si>
  <si>
    <t> 0.0071 </t>
  </si>
  <si>
    <t>2451811.3101 </t>
  </si>
  <si>
    <t> 23.09.2000 19:26 </t>
  </si>
  <si>
    <t> 0.0001 </t>
  </si>
  <si>
    <t>2451811.4832 </t>
  </si>
  <si>
    <t> 23.09.2000 23:35 </t>
  </si>
  <si>
    <t> 0.0052 </t>
  </si>
  <si>
    <t>2451814.3339 </t>
  </si>
  <si>
    <t> 26.09.2000 20:00 </t>
  </si>
  <si>
    <t> 0.0004 </t>
  </si>
  <si>
    <t>2451850.2818 </t>
  </si>
  <si>
    <t> 01.11.2000 18:45 </t>
  </si>
  <si>
    <t> 0.0018 </t>
  </si>
  <si>
    <t>2452112.4856 </t>
  </si>
  <si>
    <t> 21.07.2001 23:39 </t>
  </si>
  <si>
    <t> -0.0020 </t>
  </si>
  <si>
    <t> BBS 126 </t>
  </si>
  <si>
    <t>2452443.402 </t>
  </si>
  <si>
    <t> 17.06.2002 21:38 </t>
  </si>
  <si>
    <t> 0.005 </t>
  </si>
  <si>
    <t> BBS 128 </t>
  </si>
  <si>
    <t>2452820.4998 </t>
  </si>
  <si>
    <t> 29.06.2003 23:59 </t>
  </si>
  <si>
    <t> 0.0011 </t>
  </si>
  <si>
    <t> BBS 130 </t>
  </si>
  <si>
    <t>2453233.3799 </t>
  </si>
  <si>
    <t> 15.08.2004 21:07 </t>
  </si>
  <si>
    <t> 0.0008 </t>
  </si>
  <si>
    <t>IBVS 5653 </t>
  </si>
  <si>
    <t>2453652.3064 </t>
  </si>
  <si>
    <t> 08.10.2005 19:21 </t>
  </si>
  <si>
    <t> -0.0003 </t>
  </si>
  <si>
    <t>IBVS 5713 </t>
  </si>
  <si>
    <t>2454019.3294 </t>
  </si>
  <si>
    <t> 10.10.2006 19:54 </t>
  </si>
  <si>
    <t> -0.0008 </t>
  </si>
  <si>
    <t>C </t>
  </si>
  <si>
    <t>R</t>
  </si>
  <si>
    <t> BBS 133 (=IBVS 5781) </t>
  </si>
  <si>
    <t>2454225.9364 </t>
  </si>
  <si>
    <t> 05.05.2007 10:28 </t>
  </si>
  <si>
    <t> R.Nelson </t>
  </si>
  <si>
    <t>IBVS 5820 </t>
  </si>
  <si>
    <t>2454407.3458 </t>
  </si>
  <si>
    <t> 02.11.2007 20:17 </t>
  </si>
  <si>
    <t> -0.0047 </t>
  </si>
  <si>
    <t>IBVS 5837 </t>
  </si>
  <si>
    <t>2454619.5006 </t>
  </si>
  <si>
    <t> 02.06.2008 00:00 </t>
  </si>
  <si>
    <t> -0.0012 </t>
  </si>
  <si>
    <t>B</t>
  </si>
  <si>
    <t> F.Agerer </t>
  </si>
  <si>
    <t>BAVM 201 </t>
  </si>
  <si>
    <t>2456175.4500 </t>
  </si>
  <si>
    <t> 04.09.2012 22:48 </t>
  </si>
  <si>
    <t> 0.0036 </t>
  </si>
  <si>
    <t>o</t>
  </si>
  <si>
    <t> U.Schmidt </t>
  </si>
  <si>
    <t>BAVM 231 </t>
  </si>
  <si>
    <t>2456188.3811 </t>
  </si>
  <si>
    <t> 17.09.2012 21:08 </t>
  </si>
  <si>
    <t> 0.0007 </t>
  </si>
  <si>
    <t>2456188.5532 </t>
  </si>
  <si>
    <t> 18.09.2012 01:16 </t>
  </si>
  <si>
    <t> 0.0048 </t>
  </si>
  <si>
    <t>2456563.4685 </t>
  </si>
  <si>
    <t> 27.09.2013 23:14 </t>
  </si>
  <si>
    <t> H.Jungbluth </t>
  </si>
  <si>
    <t>BAVM 234 </t>
  </si>
  <si>
    <t>2456933.3469 </t>
  </si>
  <si>
    <t> 02.10.2014 20:19 </t>
  </si>
  <si>
    <t> 0.0012 </t>
  </si>
  <si>
    <t>-I</t>
  </si>
  <si>
    <t>BAVM 239 </t>
  </si>
  <si>
    <t>2456933.5140 </t>
  </si>
  <si>
    <t> 03.10.2014 00:20 </t>
  </si>
  <si>
    <t>13197</t>
  </si>
  <si>
    <t> 0.0003 </t>
  </si>
  <si>
    <t>2456934.3549 </t>
  </si>
  <si>
    <t> 03.10.2014 20:31 </t>
  </si>
  <si>
    <t>13199.5</t>
  </si>
  <si>
    <t> 0.0013 </t>
  </si>
  <si>
    <t>2457225.4509 </t>
  </si>
  <si>
    <t> 21.07.2015 22:49 </t>
  </si>
  <si>
    <t>14066</t>
  </si>
  <si>
    <t> -0.0019 </t>
  </si>
  <si>
    <t>BAVM 241 (=IBVS 6157) </t>
  </si>
  <si>
    <t>IBVS 6154</t>
  </si>
  <si>
    <t>IBVS 6234</t>
  </si>
  <si>
    <t>IBVS 6262</t>
  </si>
  <si>
    <t>OEJV 0211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</si>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</sst>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6" fillId="0" borderId="1" applyNumberFormat="0" applyFont="0" applyFill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5" fillId="0" borderId="0" xfId="0" applyFont="1" applyAlignment="1"/>
    <xf numFmtId="14" fontId="10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8" fillId="2" borderId="12" xfId="7" applyFill="1" applyBorder="1" applyAlignment="1" applyProtection="1">
      <alignment horizontal="right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8" applyFont="1"/>
    <xf numFmtId="0" fontId="25" fillId="0" borderId="0" xfId="8" applyFont="1" applyAlignment="1">
      <alignment horizontal="center"/>
    </xf>
    <xf numFmtId="0" fontId="25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V2282 Cyg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58966565349544"/>
          <c:w val="0.7967741935483870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3A-4FD0-8B19-A0078D81C5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3A-4FD0-8B19-A0078D81C5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5">
                  <c:v>2.060630067717284E-4</c:v>
                </c:pt>
                <c:pt idx="16">
                  <c:v>2.060630067717284E-4</c:v>
                </c:pt>
                <c:pt idx="19">
                  <c:v>-2.8749745324603282E-3</c:v>
                </c:pt>
                <c:pt idx="20">
                  <c:v>8.4537020302377641E-4</c:v>
                </c:pt>
                <c:pt idx="21">
                  <c:v>9.4537020049756393E-4</c:v>
                </c:pt>
                <c:pt idx="22">
                  <c:v>8.5207092997734435E-3</c:v>
                </c:pt>
                <c:pt idx="23">
                  <c:v>5.6338261274504475E-3</c:v>
                </c:pt>
                <c:pt idx="24">
                  <c:v>9.7599705040920526E-3</c:v>
                </c:pt>
                <c:pt idx="25">
                  <c:v>7.414213934680447E-3</c:v>
                </c:pt>
                <c:pt idx="26">
                  <c:v>7.384126125543844E-3</c:v>
                </c:pt>
                <c:pt idx="27">
                  <c:v>6.5102705048047937E-3</c:v>
                </c:pt>
                <c:pt idx="28">
                  <c:v>7.5409923738334328E-3</c:v>
                </c:pt>
                <c:pt idx="29">
                  <c:v>4.8491930356249213E-3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3A-4FD0-8B19-A0078D81C5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0">
                  <c:v>-1.1025126332242507E-2</c:v>
                </c:pt>
                <c:pt idx="1">
                  <c:v>-7.8602471694466658E-3</c:v>
                </c:pt>
                <c:pt idx="2">
                  <c:v>-2.1787973601021804E-3</c:v>
                </c:pt>
                <c:pt idx="3">
                  <c:v>7.2486676217522472E-3</c:v>
                </c:pt>
                <c:pt idx="4">
                  <c:v>4.3761326087405905E-3</c:v>
                </c:pt>
                <c:pt idx="5">
                  <c:v>-2.6362792705185711E-3</c:v>
                </c:pt>
                <c:pt idx="6">
                  <c:v>-3.3627927041379735E-4</c:v>
                </c:pt>
                <c:pt idx="7">
                  <c:v>2.4898651026887819E-3</c:v>
                </c:pt>
                <c:pt idx="8">
                  <c:v>-2.3656805424252525E-3</c:v>
                </c:pt>
                <c:pt idx="9">
                  <c:v>-8.7078443903010339E-4</c:v>
                </c:pt>
                <c:pt idx="10">
                  <c:v>-4.2594161641318351E-3</c:v>
                </c:pt>
                <c:pt idx="11">
                  <c:v>3.6450011975830421E-3</c:v>
                </c:pt>
                <c:pt idx="12">
                  <c:v>1.391214900650084E-4</c:v>
                </c:pt>
                <c:pt idx="13">
                  <c:v>5.0199351244373247E-4</c:v>
                </c:pt>
                <c:pt idx="14">
                  <c:v>5.0199351244373247E-4</c:v>
                </c:pt>
                <c:pt idx="17">
                  <c:v>3.3152084506582469E-4</c:v>
                </c:pt>
                <c:pt idx="18">
                  <c:v>-5.1089877524645999E-4</c:v>
                </c:pt>
                <c:pt idx="30">
                  <c:v>5.3684849553974345E-3</c:v>
                </c:pt>
                <c:pt idx="31">
                  <c:v>1.2070596130797639E-3</c:v>
                </c:pt>
                <c:pt idx="32">
                  <c:v>6.231870902411174E-3</c:v>
                </c:pt>
                <c:pt idx="33">
                  <c:v>-8.9433186076348647E-4</c:v>
                </c:pt>
                <c:pt idx="34">
                  <c:v>-8.9433186076348647E-4</c:v>
                </c:pt>
                <c:pt idx="35">
                  <c:v>-2.96883808914572E-4</c:v>
                </c:pt>
                <c:pt idx="36">
                  <c:v>-2.96883808914572E-4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3A-4FD0-8B19-A0078D81C5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3A-4FD0-8B19-A0078D81C5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3A-4FD0-8B19-A0078D81C5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3A-4FD0-8B19-A0078D81C5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7">
                  <c:v>3.4795618384741836E-2</c:v>
                </c:pt>
                <c:pt idx="18">
                  <c:v>3.309172153439132E-2</c:v>
                </c:pt>
                <c:pt idx="19">
                  <c:v>3.1595616982864033E-2</c:v>
                </c:pt>
                <c:pt idx="20">
                  <c:v>2.9846005826772402E-2</c:v>
                </c:pt>
                <c:pt idx="21">
                  <c:v>2.9846005826772402E-2</c:v>
                </c:pt>
                <c:pt idx="22">
                  <c:v>1.7014138733441635E-2</c:v>
                </c:pt>
                <c:pt idx="23">
                  <c:v>1.6907472020045708E-2</c:v>
                </c:pt>
                <c:pt idx="24">
                  <c:v>1.6906086738053553E-2</c:v>
                </c:pt>
                <c:pt idx="25">
                  <c:v>1.3814137331563833E-2</c:v>
                </c:pt>
                <c:pt idx="26">
                  <c:v>1.0763746384838759E-2</c:v>
                </c:pt>
                <c:pt idx="27">
                  <c:v>1.0762361102846604E-2</c:v>
                </c:pt>
                <c:pt idx="28">
                  <c:v>1.075543469288583E-2</c:v>
                </c:pt>
                <c:pt idx="29">
                  <c:v>8.354741000481402E-3</c:v>
                </c:pt>
                <c:pt idx="30">
                  <c:v>6.0011468958102408E-3</c:v>
                </c:pt>
                <c:pt idx="31">
                  <c:v>2.8676390295558733E-3</c:v>
                </c:pt>
                <c:pt idx="32">
                  <c:v>1.9962966564904469E-3</c:v>
                </c:pt>
                <c:pt idx="33">
                  <c:v>-3.5912026000783914E-5</c:v>
                </c:pt>
                <c:pt idx="34">
                  <c:v>-3.5912026000783914E-5</c:v>
                </c:pt>
                <c:pt idx="35">
                  <c:v>-1.8413719916135496E-4</c:v>
                </c:pt>
                <c:pt idx="36">
                  <c:v>-1.8413719916135496E-4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3A-4FD0-8B19-A0078D81C5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Active!$D$21:$D$117</c:f>
                <c:numCache>
                  <c:formatCode>General</c:formatCode>
                  <c:ptCount val="97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Active!$D$21:$D$117</c:f>
                <c:numCache>
                  <c:formatCode>General</c:formatCode>
                  <c:ptCount val="97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6.9999999999999999E-4</c:v>
                  </c:pt>
                  <c:pt idx="13">
                    <c:v>8.9999999999999998E-4</c:v>
                  </c:pt>
                  <c:pt idx="14">
                    <c:v>8.0000000000000004E-4</c:v>
                  </c:pt>
                  <c:pt idx="15">
                    <c:v>1.9E-3</c:v>
                  </c:pt>
                  <c:pt idx="16">
                    <c:v>1.9E-3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8.9999999999999998E-4</c:v>
                  </c:pt>
                  <c:pt idx="21">
                    <c:v>4.0000000000000002E-4</c:v>
                  </c:pt>
                  <c:pt idx="22">
                    <c:v>3.0999999999999999E-3</c:v>
                  </c:pt>
                  <c:pt idx="23">
                    <c:v>2.3999999999999998E-3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8.9999999999999998E-4</c:v>
                  </c:pt>
                  <c:pt idx="27">
                    <c:v>1.9E-3</c:v>
                  </c:pt>
                  <c:pt idx="28">
                    <c:v>1.4E-3</c:v>
                  </c:pt>
                  <c:pt idx="29">
                    <c:v>1.2999999999999999E-3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4.0000000000000002E-4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-8831.5</c:v>
                </c:pt>
                <c:pt idx="1">
                  <c:v>-8683</c:v>
                </c:pt>
                <c:pt idx="2">
                  <c:v>-7216.5</c:v>
                </c:pt>
                <c:pt idx="3">
                  <c:v>-7204.5</c:v>
                </c:pt>
                <c:pt idx="4">
                  <c:v>-7192.5</c:v>
                </c:pt>
                <c:pt idx="5">
                  <c:v>-7187</c:v>
                </c:pt>
                <c:pt idx="6">
                  <c:v>-7187</c:v>
                </c:pt>
                <c:pt idx="7">
                  <c:v>-7186.5</c:v>
                </c:pt>
                <c:pt idx="8">
                  <c:v>-7178</c:v>
                </c:pt>
                <c:pt idx="9">
                  <c:v>-7071</c:v>
                </c:pt>
                <c:pt idx="10">
                  <c:v>-6290.5</c:v>
                </c:pt>
                <c:pt idx="11">
                  <c:v>-5305.5</c:v>
                </c:pt>
                <c:pt idx="12">
                  <c:v>-4183</c:v>
                </c:pt>
                <c:pt idx="13">
                  <c:v>-2954</c:v>
                </c:pt>
                <c:pt idx="14">
                  <c:v>-2954</c:v>
                </c:pt>
                <c:pt idx="15">
                  <c:v>-1707</c:v>
                </c:pt>
                <c:pt idx="16">
                  <c:v>-1707</c:v>
                </c:pt>
                <c:pt idx="17">
                  <c:v>-614.5</c:v>
                </c:pt>
                <c:pt idx="18">
                  <c:v>0.5</c:v>
                </c:pt>
                <c:pt idx="19">
                  <c:v>540.5</c:v>
                </c:pt>
                <c:pt idx="20">
                  <c:v>1172</c:v>
                </c:pt>
                <c:pt idx="21">
                  <c:v>1172</c:v>
                </c:pt>
                <c:pt idx="22">
                  <c:v>5803.5</c:v>
                </c:pt>
                <c:pt idx="23">
                  <c:v>5842</c:v>
                </c:pt>
                <c:pt idx="24">
                  <c:v>5842.5</c:v>
                </c:pt>
                <c:pt idx="25">
                  <c:v>6958.5</c:v>
                </c:pt>
                <c:pt idx="26">
                  <c:v>8059.5</c:v>
                </c:pt>
                <c:pt idx="27">
                  <c:v>8060</c:v>
                </c:pt>
                <c:pt idx="28">
                  <c:v>8062.5</c:v>
                </c:pt>
                <c:pt idx="29">
                  <c:v>8929</c:v>
                </c:pt>
                <c:pt idx="30">
                  <c:v>9778.5</c:v>
                </c:pt>
                <c:pt idx="31">
                  <c:v>10909.5</c:v>
                </c:pt>
                <c:pt idx="32">
                  <c:v>11224</c:v>
                </c:pt>
                <c:pt idx="33">
                  <c:v>11957.5</c:v>
                </c:pt>
                <c:pt idx="34">
                  <c:v>11957.5</c:v>
                </c:pt>
                <c:pt idx="35">
                  <c:v>12011</c:v>
                </c:pt>
                <c:pt idx="36">
                  <c:v>12011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3A-4FD0-8B19-A0078D81C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31744"/>
        <c:axId val="1"/>
      </c:scatterChart>
      <c:valAx>
        <c:axId val="79423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193548387097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3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209726443768997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V2282 Cyg - O-C Diagr.</a:t>
            </a:r>
          </a:p>
        </c:rich>
      </c:tx>
      <c:layout>
        <c:manualLayout>
          <c:xMode val="edge"/>
          <c:yMode val="edge"/>
          <c:x val="0.357027802865514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60681114551083"/>
          <c:w val="0.81098610014427575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Source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-1.1692499974742532E-3</c:v>
                </c:pt>
                <c:pt idx="1">
                  <c:v>1.1359999916749075E-3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4B-4EE0-BA69-0D1432A91BA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3">
                  <c:v>-1.691400000709109E-2</c:v>
                </c:pt>
                <c:pt idx="4">
                  <c:v>-2.3665500004426576E-2</c:v>
                </c:pt>
                <c:pt idx="5">
                  <c:v>-3.117999999813037E-2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4B-4EE0-BA69-0D1432A91BAE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6">
                  <c:v>-4.1781250001804437E-2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4B-4EE0-BA69-0D1432A91BAE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4B-4EE0-BA69-0D1432A91BAE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4B-4EE0-BA69-0D1432A91BA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4B-4EE0-BA69-0D1432A91BA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6.9999999999999999E-4</c:v>
                  </c:pt>
                  <c:pt idx="4">
                    <c:v>8.9999999999999998E-4</c:v>
                  </c:pt>
                  <c:pt idx="5">
                    <c:v>1.9E-3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4B-4EE0-BA69-0D1432A91BA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-1644.5</c:v>
                </c:pt>
                <c:pt idx="1">
                  <c:v>-1496</c:v>
                </c:pt>
                <c:pt idx="2">
                  <c:v>0</c:v>
                </c:pt>
                <c:pt idx="3">
                  <c:v>3004</c:v>
                </c:pt>
                <c:pt idx="4">
                  <c:v>4233</c:v>
                </c:pt>
                <c:pt idx="5">
                  <c:v>5480</c:v>
                </c:pt>
                <c:pt idx="6">
                  <c:v>7187.5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9.8558763259759471E-3</c:v>
                </c:pt>
                <c:pt idx="1">
                  <c:v>8.9962471600948425E-3</c:v>
                </c:pt>
                <c:pt idx="2">
                  <c:v>3.3627926677408382E-4</c:v>
                </c:pt>
                <c:pt idx="3">
                  <c:v>-1.7053121502968938E-2</c:v>
                </c:pt>
                <c:pt idx="4">
                  <c:v>-2.4167493522281244E-2</c:v>
                </c:pt>
                <c:pt idx="5">
                  <c:v>-3.1386063016245809E-2</c:v>
                </c:pt>
                <c:pt idx="6">
                  <c:v>-4.1270351236730562E-2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4B-4EE0-BA69-0D1432A91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31088"/>
        <c:axId val="1"/>
      </c:scatterChart>
      <c:valAx>
        <c:axId val="79423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3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801309367831443"/>
          <c:y val="0.91950464396284826"/>
          <c:w val="0.93861151039480317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371475</xdr:colOff>
      <xdr:row>18</xdr:row>
      <xdr:rowOff>47625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482FDD41-6A20-A283-CB8F-C8B1F93B8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E5AFF3-6B43-0A01-20E9-EE1BE7660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820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01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konkoly.hu/cgi-bin/IBVS?5837" TargetMode="External"/><Relationship Id="rId9" Type="http://schemas.openxmlformats.org/officeDocument/2006/relationships/hyperlink" Target="http://www.bav-astro.de/sfs/BAVM_link.php?BAVMnr=231" TargetMode="External"/><Relationship Id="rId14" Type="http://schemas.openxmlformats.org/officeDocument/2006/relationships/hyperlink" Target="http://www.bav-astro.de/sfs/BAVM_link.php?BAVMnr=2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IV148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1.42578125" customWidth="1"/>
    <col min="2" max="2" width="4.71093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11.140625" customWidth="1"/>
    <col min="21" max="21" width="11.5703125" customWidth="1"/>
  </cols>
  <sheetData>
    <row r="1" spans="1:6" ht="20.25" x14ac:dyDescent="0.3">
      <c r="A1" s="1" t="s">
        <v>43</v>
      </c>
    </row>
    <row r="2" spans="1:6" x14ac:dyDescent="0.2">
      <c r="A2" t="s">
        <v>24</v>
      </c>
      <c r="B2" s="21" t="s">
        <v>44</v>
      </c>
      <c r="C2" s="13" t="s">
        <v>40</v>
      </c>
    </row>
    <row r="3" spans="1:6" ht="13.5" thickBot="1" x14ac:dyDescent="0.25">
      <c r="A3" t="s">
        <v>41</v>
      </c>
    </row>
    <row r="4" spans="1:6" ht="14.25" thickTop="1" thickBot="1" x14ac:dyDescent="0.25">
      <c r="A4" s="8" t="s">
        <v>0</v>
      </c>
      <c r="C4" s="11" t="s">
        <v>33</v>
      </c>
      <c r="D4" s="12" t="s">
        <v>33</v>
      </c>
    </row>
    <row r="5" spans="1:6" ht="13.5" thickTop="1" x14ac:dyDescent="0.2">
      <c r="A5" s="28" t="s">
        <v>48</v>
      </c>
      <c r="B5" s="13"/>
      <c r="C5" s="29">
        <v>-9.5</v>
      </c>
      <c r="D5" s="13" t="s">
        <v>49</v>
      </c>
    </row>
    <row r="6" spans="1:6" x14ac:dyDescent="0.2">
      <c r="A6" s="8" t="s">
        <v>1</v>
      </c>
    </row>
    <row r="7" spans="1:6" x14ac:dyDescent="0.2">
      <c r="A7" t="s">
        <v>2</v>
      </c>
      <c r="C7">
        <v>54225.768937043147</v>
      </c>
      <c r="D7" s="19" t="s">
        <v>29</v>
      </c>
    </row>
    <row r="8" spans="1:6" x14ac:dyDescent="0.2">
      <c r="A8" t="s">
        <v>3</v>
      </c>
      <c r="C8">
        <v>0.33594771125140821</v>
      </c>
      <c r="D8" s="20">
        <v>4996</v>
      </c>
    </row>
    <row r="9" spans="1:6" x14ac:dyDescent="0.2">
      <c r="A9" s="46" t="s">
        <v>54</v>
      </c>
      <c r="B9" s="47">
        <v>51</v>
      </c>
      <c r="C9" s="44" t="str">
        <f>"F"&amp;B9</f>
        <v>F51</v>
      </c>
      <c r="D9" s="45" t="str">
        <f>"G"&amp;B9</f>
        <v>G51</v>
      </c>
    </row>
    <row r="10" spans="1:6" ht="13.5" thickBot="1" x14ac:dyDescent="0.25">
      <c r="A10" s="13"/>
      <c r="B10" s="13"/>
      <c r="C10" s="7" t="s">
        <v>19</v>
      </c>
      <c r="D10" s="7" t="s">
        <v>20</v>
      </c>
      <c r="E10" s="13"/>
    </row>
    <row r="11" spans="1:6" x14ac:dyDescent="0.2">
      <c r="A11" s="13" t="s">
        <v>15</v>
      </c>
      <c r="B11" s="13"/>
      <c r="C11" s="43">
        <f ca="1">INTERCEPT(INDIRECT($D$9):G988,INDIRECT($C$9):F988)</f>
        <v>3.3093106816383472E-2</v>
      </c>
      <c r="D11" s="6"/>
      <c r="E11" s="13"/>
    </row>
    <row r="12" spans="1:6" x14ac:dyDescent="0.2">
      <c r="A12" s="13" t="s">
        <v>16</v>
      </c>
      <c r="B12" s="13"/>
      <c r="C12" s="43">
        <f ca="1">SLOPE(INDIRECT($D$9):G988,INDIRECT($C$9):F988)</f>
        <v>-2.7705639843097849E-6</v>
      </c>
      <c r="D12" s="6"/>
      <c r="E12" s="13"/>
    </row>
    <row r="13" spans="1:6" x14ac:dyDescent="0.2">
      <c r="A13" s="13" t="s">
        <v>18</v>
      </c>
      <c r="B13" s="13"/>
      <c r="C13" s="6" t="s">
        <v>13</v>
      </c>
    </row>
    <row r="14" spans="1:6" x14ac:dyDescent="0.2">
      <c r="A14" s="13"/>
      <c r="B14" s="13"/>
      <c r="C14" s="13"/>
    </row>
    <row r="15" spans="1:6" x14ac:dyDescent="0.2">
      <c r="A15" s="30" t="s">
        <v>17</v>
      </c>
      <c r="B15" s="13"/>
      <c r="C15" s="24">
        <f ca="1">(C7+C11)+(C8+C12)*INT(MAX(F21:F3529))</f>
        <v>58260.836712746612</v>
      </c>
      <c r="E15" s="31" t="s">
        <v>57</v>
      </c>
      <c r="F15" s="29">
        <v>1</v>
      </c>
    </row>
    <row r="16" spans="1:6" x14ac:dyDescent="0.2">
      <c r="A16" s="33" t="s">
        <v>4</v>
      </c>
      <c r="B16" s="13"/>
      <c r="C16" s="25">
        <f ca="1">+C8+C12</f>
        <v>0.33594494068742392</v>
      </c>
      <c r="E16" s="31" t="s">
        <v>50</v>
      </c>
      <c r="F16" s="32">
        <f ca="1">NOW()+15018.5+$C$5/24</f>
        <v>60346.682152662033</v>
      </c>
    </row>
    <row r="17" spans="1:256" ht="13.5" thickBot="1" x14ac:dyDescent="0.25">
      <c r="A17" s="31" t="s">
        <v>47</v>
      </c>
      <c r="B17" s="13"/>
      <c r="C17" s="13">
        <f>COUNT(C21:C2187)</f>
        <v>37</v>
      </c>
      <c r="E17" s="31" t="s">
        <v>58</v>
      </c>
      <c r="F17" s="32">
        <f ca="1">ROUND(2*(F16-$C$7)/$C$8,0)/2+F15</f>
        <v>18221</v>
      </c>
    </row>
    <row r="18" spans="1:256" ht="14.25" thickTop="1" thickBot="1" x14ac:dyDescent="0.25">
      <c r="A18" s="33" t="s">
        <v>5</v>
      </c>
      <c r="B18" s="13"/>
      <c r="C18" s="35">
        <f ca="1">+C15</f>
        <v>58260.836712746612</v>
      </c>
      <c r="D18" s="36">
        <f ca="1">+C16</f>
        <v>0.33594494068742392</v>
      </c>
      <c r="E18" s="31" t="s">
        <v>51</v>
      </c>
      <c r="F18" s="45">
        <f ca="1">ROUND(2*(F16-$C$15)/$C$16,0)/2+F15</f>
        <v>6210</v>
      </c>
    </row>
    <row r="19" spans="1:256" ht="13.5" thickTop="1" x14ac:dyDescent="0.2">
      <c r="E19" s="31" t="s">
        <v>52</v>
      </c>
      <c r="F19" s="34">
        <f ca="1">+$C$15+$C$16*F18-15018.5-$C$5/24</f>
        <v>45328.950627748847</v>
      </c>
    </row>
    <row r="20" spans="1:256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72</v>
      </c>
      <c r="I20" s="10" t="s">
        <v>75</v>
      </c>
      <c r="J20" s="10" t="s">
        <v>69</v>
      </c>
      <c r="K20" s="10" t="s">
        <v>67</v>
      </c>
      <c r="L20" s="10" t="s">
        <v>26</v>
      </c>
      <c r="M20" s="10" t="s">
        <v>27</v>
      </c>
      <c r="N20" s="10" t="s">
        <v>28</v>
      </c>
      <c r="O20" s="10" t="s">
        <v>22</v>
      </c>
      <c r="P20" s="9" t="s">
        <v>21</v>
      </c>
      <c r="Q20" s="7" t="s">
        <v>14</v>
      </c>
      <c r="R20" s="7"/>
      <c r="S20" s="7"/>
      <c r="T20" s="7"/>
      <c r="U20" s="50" t="s">
        <v>61</v>
      </c>
    </row>
    <row r="21" spans="1:256" x14ac:dyDescent="0.2">
      <c r="A21" s="14" t="s">
        <v>32</v>
      </c>
      <c r="B21" s="37" t="s">
        <v>42</v>
      </c>
      <c r="C21" s="15">
        <v>51258.835700000003</v>
      </c>
      <c r="D21" s="15">
        <v>5.9999999999999995E-4</v>
      </c>
      <c r="E21" s="14">
        <f t="shared" ref="E21:E57" si="0">+(C21-C$7)/C$8</f>
        <v>-8831.5328179831649</v>
      </c>
      <c r="F21" s="14">
        <f t="shared" ref="F21:F57" si="1">ROUND(2*E21,0)/2</f>
        <v>-8831.5</v>
      </c>
      <c r="G21" s="14">
        <f t="shared" ref="G21:G57" si="2">+C21-(C$7+F21*C$8)</f>
        <v>-1.1025126332242507E-2</v>
      </c>
      <c r="H21" s="14"/>
      <c r="I21" s="14"/>
      <c r="J21" s="14"/>
      <c r="K21" s="14">
        <f t="shared" ref="K21:K35" si="3">+G21</f>
        <v>-1.1025126332242507E-2</v>
      </c>
      <c r="L21" s="14"/>
      <c r="M21" s="14"/>
      <c r="N21" s="14"/>
      <c r="O21" s="14"/>
      <c r="P21" s="14"/>
      <c r="Q21" s="18">
        <f t="shared" ref="Q21:Q57" si="4">+C21-15018.5</f>
        <v>36240.335700000003</v>
      </c>
      <c r="R21" s="18"/>
      <c r="S21" s="18"/>
      <c r="T21" s="18"/>
      <c r="U21" s="51"/>
    </row>
    <row r="22" spans="1:256" x14ac:dyDescent="0.2">
      <c r="A22" s="14" t="s">
        <v>32</v>
      </c>
      <c r="B22" s="37" t="s">
        <v>31</v>
      </c>
      <c r="C22" s="15">
        <v>51308.727099999996</v>
      </c>
      <c r="D22" s="15">
        <v>5.0000000000000001E-4</v>
      </c>
      <c r="E22" s="14">
        <f t="shared" si="0"/>
        <v>-8683.0233972338847</v>
      </c>
      <c r="F22" s="14">
        <f t="shared" si="1"/>
        <v>-8683</v>
      </c>
      <c r="G22" s="14">
        <f t="shared" si="2"/>
        <v>-7.8602471694466658E-3</v>
      </c>
      <c r="H22" s="14"/>
      <c r="I22" s="14"/>
      <c r="J22" s="14"/>
      <c r="K22" s="14">
        <f t="shared" si="3"/>
        <v>-7.8602471694466658E-3</v>
      </c>
      <c r="L22" s="14"/>
      <c r="M22" s="14"/>
      <c r="N22" s="14"/>
      <c r="O22" s="14"/>
      <c r="P22" s="14"/>
      <c r="Q22" s="18">
        <f t="shared" si="4"/>
        <v>36290.227099999996</v>
      </c>
      <c r="R22" s="18"/>
      <c r="S22" s="18"/>
      <c r="T22" s="18"/>
      <c r="U22" s="51"/>
    </row>
    <row r="23" spans="1:256" x14ac:dyDescent="0.2">
      <c r="A23" s="74" t="s">
        <v>82</v>
      </c>
      <c r="B23" s="73" t="s">
        <v>42</v>
      </c>
      <c r="C23" s="74">
        <v>51801.400099999999</v>
      </c>
      <c r="D23" s="74" t="s">
        <v>75</v>
      </c>
      <c r="E23" s="14">
        <f t="shared" si="0"/>
        <v>-7216.5064855252404</v>
      </c>
      <c r="F23" s="14">
        <f t="shared" si="1"/>
        <v>-7216.5</v>
      </c>
      <c r="G23" s="14">
        <f t="shared" si="2"/>
        <v>-2.1787973601021804E-3</v>
      </c>
      <c r="H23" s="14"/>
      <c r="K23" s="14">
        <f t="shared" si="3"/>
        <v>-2.1787973601021804E-3</v>
      </c>
      <c r="O23" s="14"/>
      <c r="P23" s="14"/>
      <c r="Q23" s="18">
        <f t="shared" si="4"/>
        <v>36782.900099999999</v>
      </c>
      <c r="R23" s="18"/>
      <c r="S23" s="18"/>
      <c r="T23" s="18"/>
    </row>
    <row r="24" spans="1:256" x14ac:dyDescent="0.2">
      <c r="A24" s="74" t="s">
        <v>82</v>
      </c>
      <c r="B24" s="73" t="s">
        <v>42</v>
      </c>
      <c r="C24" s="74">
        <v>51805.440900000001</v>
      </c>
      <c r="D24" s="74" t="s">
        <v>75</v>
      </c>
      <c r="E24" s="14">
        <f t="shared" si="0"/>
        <v>-7204.4784232266456</v>
      </c>
      <c r="F24" s="14">
        <f t="shared" si="1"/>
        <v>-7204.5</v>
      </c>
      <c r="G24" s="14">
        <f t="shared" si="2"/>
        <v>7.2486676217522472E-3</v>
      </c>
      <c r="H24" s="14"/>
      <c r="K24" s="14">
        <f t="shared" si="3"/>
        <v>7.2486676217522472E-3</v>
      </c>
      <c r="O24" s="14"/>
      <c r="P24" s="14"/>
      <c r="Q24" s="18">
        <f t="shared" si="4"/>
        <v>36786.940900000001</v>
      </c>
      <c r="R24" s="18"/>
      <c r="S24" s="18"/>
      <c r="T24" s="18"/>
    </row>
    <row r="25" spans="1:256" x14ac:dyDescent="0.2">
      <c r="A25" s="74" t="s">
        <v>82</v>
      </c>
      <c r="B25" s="73" t="s">
        <v>42</v>
      </c>
      <c r="C25" s="74">
        <v>51809.469400000002</v>
      </c>
      <c r="D25" s="74" t="s">
        <v>75</v>
      </c>
      <c r="E25" s="14">
        <f t="shared" si="0"/>
        <v>-7192.4869737686504</v>
      </c>
      <c r="F25" s="14">
        <f t="shared" si="1"/>
        <v>-7192.5</v>
      </c>
      <c r="G25" s="14">
        <f t="shared" si="2"/>
        <v>4.3761326087405905E-3</v>
      </c>
      <c r="H25" s="14"/>
      <c r="K25" s="14">
        <f t="shared" si="3"/>
        <v>4.3761326087405905E-3</v>
      </c>
      <c r="O25" s="14"/>
      <c r="P25" s="14"/>
      <c r="Q25" s="18">
        <f t="shared" si="4"/>
        <v>36790.969400000002</v>
      </c>
      <c r="R25" s="18"/>
      <c r="S25" s="18"/>
      <c r="T25" s="18"/>
    </row>
    <row r="26" spans="1:256" x14ac:dyDescent="0.2">
      <c r="A26" s="74" t="s">
        <v>82</v>
      </c>
      <c r="B26" s="73" t="s">
        <v>31</v>
      </c>
      <c r="C26" s="74">
        <v>51811.310100000002</v>
      </c>
      <c r="D26" s="74" t="s">
        <v>75</v>
      </c>
      <c r="E26" s="14">
        <f t="shared" si="0"/>
        <v>-7187.0078472904734</v>
      </c>
      <c r="F26" s="14">
        <f t="shared" si="1"/>
        <v>-7187</v>
      </c>
      <c r="G26" s="14">
        <f t="shared" si="2"/>
        <v>-2.6362792705185711E-3</v>
      </c>
      <c r="H26" s="14"/>
      <c r="K26" s="14">
        <f t="shared" si="3"/>
        <v>-2.6362792705185711E-3</v>
      </c>
      <c r="O26" s="14"/>
      <c r="P26" s="14"/>
      <c r="Q26" s="18">
        <f t="shared" si="4"/>
        <v>36792.810100000002</v>
      </c>
      <c r="R26" s="18"/>
      <c r="S26" s="18"/>
      <c r="T26" s="18"/>
    </row>
    <row r="27" spans="1:256" x14ac:dyDescent="0.2">
      <c r="A27" s="14" t="s">
        <v>32</v>
      </c>
      <c r="B27" s="37" t="s">
        <v>31</v>
      </c>
      <c r="C27" s="15">
        <v>51811.312400000003</v>
      </c>
      <c r="D27" s="15">
        <v>8.9999999999999998E-4</v>
      </c>
      <c r="E27" s="14">
        <f t="shared" si="0"/>
        <v>-7187.0010009869466</v>
      </c>
      <c r="F27" s="14">
        <f t="shared" si="1"/>
        <v>-7187</v>
      </c>
      <c r="G27" s="14">
        <f t="shared" si="2"/>
        <v>-3.3627927041379735E-4</v>
      </c>
      <c r="H27" s="14"/>
      <c r="I27" s="14"/>
      <c r="J27" s="14"/>
      <c r="K27" s="14">
        <f t="shared" si="3"/>
        <v>-3.3627927041379735E-4</v>
      </c>
      <c r="L27" s="14"/>
      <c r="M27" s="14"/>
      <c r="N27" s="14"/>
      <c r="O27" s="14"/>
      <c r="P27" s="14"/>
      <c r="Q27" s="18">
        <f t="shared" si="4"/>
        <v>36792.812400000003</v>
      </c>
      <c r="R27" s="18"/>
      <c r="S27" s="18"/>
      <c r="T27" s="18"/>
      <c r="U27" s="51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pans="1:256" x14ac:dyDescent="0.2">
      <c r="A28" s="74" t="s">
        <v>82</v>
      </c>
      <c r="B28" s="73" t="s">
        <v>42</v>
      </c>
      <c r="C28" s="74">
        <v>51811.483200000002</v>
      </c>
      <c r="D28" s="74" t="s">
        <v>75</v>
      </c>
      <c r="E28" s="14">
        <f t="shared" si="0"/>
        <v>-7186.4925885338198</v>
      </c>
      <c r="F28" s="14">
        <f t="shared" si="1"/>
        <v>-7186.5</v>
      </c>
      <c r="G28" s="14">
        <f t="shared" si="2"/>
        <v>2.4898651026887819E-3</v>
      </c>
      <c r="H28" s="14"/>
      <c r="K28" s="14">
        <f t="shared" si="3"/>
        <v>2.4898651026887819E-3</v>
      </c>
      <c r="O28" s="14"/>
      <c r="P28" s="14"/>
      <c r="Q28" s="18">
        <f t="shared" si="4"/>
        <v>36792.983200000002</v>
      </c>
      <c r="R28" s="18"/>
      <c r="S28" s="18"/>
      <c r="T28" s="18"/>
    </row>
    <row r="29" spans="1:256" x14ac:dyDescent="0.2">
      <c r="A29" s="74" t="s">
        <v>82</v>
      </c>
      <c r="B29" s="73" t="s">
        <v>31</v>
      </c>
      <c r="C29" s="74">
        <v>51814.333899999998</v>
      </c>
      <c r="D29" s="74" t="s">
        <v>75</v>
      </c>
      <c r="E29" s="14">
        <f t="shared" si="0"/>
        <v>-7178.0070418117521</v>
      </c>
      <c r="F29" s="14">
        <f t="shared" si="1"/>
        <v>-7178</v>
      </c>
      <c r="G29" s="14">
        <f t="shared" si="2"/>
        <v>-2.3656805424252525E-3</v>
      </c>
      <c r="H29" s="14"/>
      <c r="K29" s="14">
        <f t="shared" si="3"/>
        <v>-2.3656805424252525E-3</v>
      </c>
      <c r="O29" s="14"/>
      <c r="P29" s="14"/>
      <c r="Q29" s="18">
        <f t="shared" si="4"/>
        <v>36795.833899999998</v>
      </c>
      <c r="R29" s="18"/>
      <c r="S29" s="18"/>
      <c r="T29" s="18"/>
    </row>
    <row r="30" spans="1:256" x14ac:dyDescent="0.2">
      <c r="A30" s="74" t="s">
        <v>82</v>
      </c>
      <c r="B30" s="73" t="s">
        <v>31</v>
      </c>
      <c r="C30" s="74">
        <v>51850.281799999997</v>
      </c>
      <c r="D30" s="74" t="s">
        <v>75</v>
      </c>
      <c r="E30" s="14">
        <f t="shared" si="0"/>
        <v>-7071.0025920237395</v>
      </c>
      <c r="F30" s="14">
        <f t="shared" si="1"/>
        <v>-7071</v>
      </c>
      <c r="G30" s="14">
        <f t="shared" si="2"/>
        <v>-8.7078443903010339E-4</v>
      </c>
      <c r="H30" s="14"/>
      <c r="K30" s="14">
        <f t="shared" si="3"/>
        <v>-8.7078443903010339E-4</v>
      </c>
      <c r="O30" s="14"/>
      <c r="P30" s="14"/>
      <c r="Q30" s="18">
        <f t="shared" si="4"/>
        <v>36831.781799999997</v>
      </c>
      <c r="R30" s="18"/>
      <c r="S30" s="18"/>
      <c r="T30" s="18"/>
    </row>
    <row r="31" spans="1:256" x14ac:dyDescent="0.2">
      <c r="A31" s="74" t="s">
        <v>104</v>
      </c>
      <c r="B31" s="73" t="s">
        <v>42</v>
      </c>
      <c r="C31" s="74">
        <v>52112.4856</v>
      </c>
      <c r="D31" s="74" t="s">
        <v>75</v>
      </c>
      <c r="E31" s="14">
        <f t="shared" si="0"/>
        <v>-6290.5126788069128</v>
      </c>
      <c r="F31" s="14">
        <f t="shared" si="1"/>
        <v>-6290.5</v>
      </c>
      <c r="G31" s="14">
        <f t="shared" si="2"/>
        <v>-4.2594161641318351E-3</v>
      </c>
      <c r="H31" s="14"/>
      <c r="K31" s="14">
        <f t="shared" si="3"/>
        <v>-4.2594161641318351E-3</v>
      </c>
      <c r="O31" s="14"/>
      <c r="P31" s="14"/>
      <c r="Q31" s="18">
        <f t="shared" si="4"/>
        <v>37093.9856</v>
      </c>
      <c r="R31" s="18"/>
      <c r="S31" s="18"/>
      <c r="T31" s="18"/>
    </row>
    <row r="32" spans="1:256" x14ac:dyDescent="0.2">
      <c r="A32" s="74" t="s">
        <v>108</v>
      </c>
      <c r="B32" s="73" t="s">
        <v>42</v>
      </c>
      <c r="C32" s="74">
        <v>52443.402000000002</v>
      </c>
      <c r="D32" s="74" t="s">
        <v>75</v>
      </c>
      <c r="E32" s="14">
        <f t="shared" si="0"/>
        <v>-5305.4891500936637</v>
      </c>
      <c r="F32" s="14">
        <f t="shared" si="1"/>
        <v>-5305.5</v>
      </c>
      <c r="G32" s="14">
        <f t="shared" si="2"/>
        <v>3.6450011975830421E-3</v>
      </c>
      <c r="H32" s="14"/>
      <c r="K32" s="14">
        <f t="shared" si="3"/>
        <v>3.6450011975830421E-3</v>
      </c>
      <c r="O32" s="14"/>
      <c r="P32" s="14"/>
      <c r="Q32" s="18">
        <f t="shared" si="4"/>
        <v>37424.902000000002</v>
      </c>
      <c r="R32" s="18"/>
      <c r="S32" s="18"/>
      <c r="T32" s="18"/>
    </row>
    <row r="33" spans="1:22" x14ac:dyDescent="0.2">
      <c r="A33" s="17" t="s">
        <v>30</v>
      </c>
      <c r="B33" s="37" t="s">
        <v>31</v>
      </c>
      <c r="C33" s="15">
        <v>52820.499799999998</v>
      </c>
      <c r="D33" s="15">
        <v>6.9999999999999999E-4</v>
      </c>
      <c r="E33" s="14">
        <f t="shared" si="0"/>
        <v>-4182.9995858834973</v>
      </c>
      <c r="F33" s="14">
        <f t="shared" si="1"/>
        <v>-4183</v>
      </c>
      <c r="G33" s="14">
        <f t="shared" si="2"/>
        <v>1.391214900650084E-4</v>
      </c>
      <c r="H33" s="14"/>
      <c r="I33" s="14"/>
      <c r="J33" s="14"/>
      <c r="K33" s="14">
        <f t="shared" si="3"/>
        <v>1.391214900650084E-4</v>
      </c>
      <c r="L33" s="14"/>
      <c r="M33" s="14"/>
      <c r="N33" s="14"/>
      <c r="O33" s="14"/>
      <c r="P33" s="14"/>
      <c r="Q33" s="18">
        <f t="shared" si="4"/>
        <v>37801.999799999998</v>
      </c>
      <c r="R33" s="18"/>
      <c r="S33" s="18"/>
      <c r="T33" s="18"/>
      <c r="U33" s="51"/>
      <c r="V33" s="14" t="s">
        <v>38</v>
      </c>
    </row>
    <row r="34" spans="1:22" x14ac:dyDescent="0.2">
      <c r="A34" s="17" t="s">
        <v>34</v>
      </c>
      <c r="B34" s="37" t="s">
        <v>31</v>
      </c>
      <c r="C34" s="15">
        <v>53233.3799</v>
      </c>
      <c r="D34" s="15">
        <v>8.9999999999999998E-4</v>
      </c>
      <c r="E34" s="14">
        <f t="shared" si="0"/>
        <v>-2953.99850573915</v>
      </c>
      <c r="F34" s="14">
        <f t="shared" si="1"/>
        <v>-2954</v>
      </c>
      <c r="G34" s="14">
        <f t="shared" si="2"/>
        <v>5.0199351244373247E-4</v>
      </c>
      <c r="H34" s="14"/>
      <c r="I34" s="14"/>
      <c r="J34" s="14"/>
      <c r="K34" s="14">
        <f t="shared" si="3"/>
        <v>5.0199351244373247E-4</v>
      </c>
      <c r="L34" s="14"/>
      <c r="M34" s="14"/>
      <c r="N34" s="14"/>
      <c r="O34" s="14"/>
      <c r="P34" s="14"/>
      <c r="Q34" s="18">
        <f t="shared" si="4"/>
        <v>38214.8799</v>
      </c>
      <c r="R34" s="18"/>
      <c r="S34" s="18"/>
      <c r="T34" s="18"/>
      <c r="U34" s="51"/>
      <c r="V34" s="14" t="s">
        <v>36</v>
      </c>
    </row>
    <row r="35" spans="1:22" x14ac:dyDescent="0.2">
      <c r="A35" s="38" t="s">
        <v>34</v>
      </c>
      <c r="B35" s="39" t="s">
        <v>31</v>
      </c>
      <c r="C35" s="40">
        <v>53233.3799</v>
      </c>
      <c r="D35" s="40">
        <v>8.0000000000000004E-4</v>
      </c>
      <c r="E35" s="14">
        <f t="shared" si="0"/>
        <v>-2953.99850573915</v>
      </c>
      <c r="F35" s="14">
        <f t="shared" si="1"/>
        <v>-2954</v>
      </c>
      <c r="G35" s="14">
        <f t="shared" si="2"/>
        <v>5.0199351244373247E-4</v>
      </c>
      <c r="H35" s="14"/>
      <c r="I35" s="14"/>
      <c r="K35" s="14">
        <f t="shared" si="3"/>
        <v>5.0199351244373247E-4</v>
      </c>
      <c r="O35" s="14"/>
      <c r="P35" s="14"/>
      <c r="Q35" s="18">
        <f t="shared" si="4"/>
        <v>38214.8799</v>
      </c>
      <c r="R35" s="18"/>
      <c r="S35" s="18"/>
      <c r="T35" s="18"/>
      <c r="U35" s="51"/>
    </row>
    <row r="36" spans="1:22" x14ac:dyDescent="0.2">
      <c r="A36" s="17" t="s">
        <v>39</v>
      </c>
      <c r="B36" s="37" t="s">
        <v>31</v>
      </c>
      <c r="C36" s="15">
        <v>53652.306400000001</v>
      </c>
      <c r="D36" s="15">
        <v>1.9E-3</v>
      </c>
      <c r="E36" s="14">
        <f t="shared" si="0"/>
        <v>-1706.9993866217835</v>
      </c>
      <c r="F36" s="14">
        <f t="shared" si="1"/>
        <v>-1707</v>
      </c>
      <c r="G36" s="14">
        <f t="shared" si="2"/>
        <v>2.060630067717284E-4</v>
      </c>
      <c r="H36" s="14"/>
      <c r="J36" s="14">
        <f>+G36</f>
        <v>2.060630067717284E-4</v>
      </c>
      <c r="K36" s="14"/>
      <c r="L36" s="14"/>
      <c r="M36" s="14"/>
      <c r="N36" s="14"/>
      <c r="O36" s="14"/>
      <c r="P36" s="14"/>
      <c r="Q36" s="18">
        <f t="shared" si="4"/>
        <v>38633.806400000001</v>
      </c>
      <c r="R36" s="18"/>
      <c r="S36" s="18"/>
      <c r="T36" s="18"/>
      <c r="U36" s="51"/>
      <c r="V36" s="14" t="s">
        <v>37</v>
      </c>
    </row>
    <row r="37" spans="1:22" x14ac:dyDescent="0.2">
      <c r="A37" s="38" t="s">
        <v>39</v>
      </c>
      <c r="B37" s="24" t="s">
        <v>31</v>
      </c>
      <c r="C37" s="41">
        <v>53652.306400000001</v>
      </c>
      <c r="D37" s="41">
        <v>1.9E-3</v>
      </c>
      <c r="E37" s="14">
        <f t="shared" si="0"/>
        <v>-1706.9993866217835</v>
      </c>
      <c r="F37" s="14">
        <f t="shared" si="1"/>
        <v>-1707</v>
      </c>
      <c r="G37" s="14">
        <f t="shared" si="2"/>
        <v>2.060630067717284E-4</v>
      </c>
      <c r="H37" s="14"/>
      <c r="J37" s="14">
        <f>+G37</f>
        <v>2.060630067717284E-4</v>
      </c>
      <c r="O37" s="14"/>
      <c r="P37" s="14"/>
      <c r="Q37" s="18">
        <f t="shared" si="4"/>
        <v>38633.806400000001</v>
      </c>
      <c r="R37" s="18"/>
      <c r="S37" s="18"/>
      <c r="T37" s="18"/>
      <c r="U37" s="51"/>
    </row>
    <row r="38" spans="1:22" x14ac:dyDescent="0.2">
      <c r="A38" s="42" t="s">
        <v>53</v>
      </c>
      <c r="B38" s="39" t="s">
        <v>42</v>
      </c>
      <c r="C38" s="40">
        <v>54019.329400000002</v>
      </c>
      <c r="D38" s="40">
        <v>4.0000000000000002E-4</v>
      </c>
      <c r="E38" s="14">
        <f t="shared" si="0"/>
        <v>-614.4990131772463</v>
      </c>
      <c r="F38" s="14">
        <f t="shared" si="1"/>
        <v>-614.5</v>
      </c>
      <c r="G38" s="14">
        <f t="shared" si="2"/>
        <v>3.3152084506582469E-4</v>
      </c>
      <c r="H38" s="14"/>
      <c r="I38" s="14"/>
      <c r="K38" s="14">
        <f>+G38</f>
        <v>3.3152084506582469E-4</v>
      </c>
      <c r="O38" s="14">
        <f t="shared" ref="O38:O57" ca="1" si="5">+C$11+C$12*$F38</f>
        <v>3.4795618384741836E-2</v>
      </c>
      <c r="P38" s="14"/>
      <c r="Q38" s="18">
        <f t="shared" si="4"/>
        <v>39000.829400000002</v>
      </c>
      <c r="R38" s="18"/>
      <c r="S38" s="18"/>
      <c r="T38" s="18"/>
      <c r="U38" s="51"/>
    </row>
    <row r="39" spans="1:22" x14ac:dyDescent="0.2">
      <c r="A39" s="48" t="s">
        <v>59</v>
      </c>
      <c r="B39" s="49"/>
      <c r="C39" s="42">
        <v>54225.936399999999</v>
      </c>
      <c r="D39" s="42">
        <v>2.9999999999999997E-4</v>
      </c>
      <c r="E39" s="14">
        <f t="shared" si="0"/>
        <v>0.49847923127001492</v>
      </c>
      <c r="F39" s="14">
        <f t="shared" si="1"/>
        <v>0.5</v>
      </c>
      <c r="G39" s="14">
        <f t="shared" si="2"/>
        <v>-5.1089877524645999E-4</v>
      </c>
      <c r="H39" s="14"/>
      <c r="K39" s="14">
        <f>+G39</f>
        <v>-5.1089877524645999E-4</v>
      </c>
      <c r="O39" s="14">
        <f t="shared" ca="1" si="5"/>
        <v>3.309172153439132E-2</v>
      </c>
      <c r="P39" s="14"/>
      <c r="Q39" s="18">
        <f t="shared" si="4"/>
        <v>39207.436399999999</v>
      </c>
      <c r="R39" s="18"/>
      <c r="S39" s="18"/>
      <c r="T39" s="18"/>
      <c r="U39" s="51"/>
    </row>
    <row r="40" spans="1:22" x14ac:dyDescent="0.2">
      <c r="A40" s="42" t="s">
        <v>55</v>
      </c>
      <c r="B40" s="49" t="s">
        <v>42</v>
      </c>
      <c r="C40" s="42">
        <v>54407.345800000003</v>
      </c>
      <c r="D40" s="42">
        <v>5.9999999999999995E-4</v>
      </c>
      <c r="E40" s="14">
        <f t="shared" si="0"/>
        <v>540.49144219640664</v>
      </c>
      <c r="F40" s="14">
        <f t="shared" si="1"/>
        <v>540.5</v>
      </c>
      <c r="G40" s="14">
        <f t="shared" si="2"/>
        <v>-2.8749745324603282E-3</v>
      </c>
      <c r="H40" s="14"/>
      <c r="I40" s="14"/>
      <c r="J40" s="14">
        <f t="shared" ref="J40:J50" si="6">+G40</f>
        <v>-2.8749745324603282E-3</v>
      </c>
      <c r="K40" s="14"/>
      <c r="L40" s="14"/>
      <c r="M40" s="14"/>
      <c r="N40" s="14"/>
      <c r="O40" s="14">
        <f t="shared" ca="1" si="5"/>
        <v>3.1595616982864033E-2</v>
      </c>
      <c r="P40" s="14"/>
      <c r="Q40" s="18">
        <f t="shared" si="4"/>
        <v>39388.845800000003</v>
      </c>
      <c r="R40" s="18"/>
      <c r="S40" s="18"/>
      <c r="T40" s="18"/>
      <c r="U40" s="51"/>
    </row>
    <row r="41" spans="1:22" x14ac:dyDescent="0.2">
      <c r="A41" s="40" t="s">
        <v>56</v>
      </c>
      <c r="B41" s="39" t="s">
        <v>31</v>
      </c>
      <c r="C41" s="40">
        <v>54619.500500000002</v>
      </c>
      <c r="D41" s="40">
        <v>8.9999999999999998E-4</v>
      </c>
      <c r="E41" s="14">
        <f t="shared" si="0"/>
        <v>1172.0025163743524</v>
      </c>
      <c r="F41" s="14">
        <f t="shared" si="1"/>
        <v>1172</v>
      </c>
      <c r="G41" s="14">
        <f t="shared" si="2"/>
        <v>8.4537020302377641E-4</v>
      </c>
      <c r="H41" s="14"/>
      <c r="I41" s="14"/>
      <c r="J41" s="14">
        <f t="shared" si="6"/>
        <v>8.4537020302377641E-4</v>
      </c>
      <c r="O41" s="14">
        <f t="shared" ca="1" si="5"/>
        <v>2.9846005826772402E-2</v>
      </c>
      <c r="P41" s="14"/>
      <c r="Q41" s="18">
        <f t="shared" si="4"/>
        <v>39601.000500000002</v>
      </c>
      <c r="R41" s="18"/>
      <c r="S41" s="18"/>
      <c r="T41" s="18"/>
      <c r="U41" s="51"/>
    </row>
    <row r="42" spans="1:22" x14ac:dyDescent="0.2">
      <c r="A42" s="40" t="s">
        <v>56</v>
      </c>
      <c r="B42" s="39" t="s">
        <v>31</v>
      </c>
      <c r="C42" s="40">
        <v>54619.500599999999</v>
      </c>
      <c r="D42" s="40">
        <v>4.0000000000000002E-4</v>
      </c>
      <c r="E42" s="14">
        <f t="shared" si="0"/>
        <v>1172.0028140397155</v>
      </c>
      <c r="F42" s="14">
        <f t="shared" si="1"/>
        <v>1172</v>
      </c>
      <c r="G42" s="14">
        <f t="shared" si="2"/>
        <v>9.4537020049756393E-4</v>
      </c>
      <c r="H42" s="14"/>
      <c r="I42" s="14"/>
      <c r="J42" s="14">
        <f t="shared" si="6"/>
        <v>9.4537020049756393E-4</v>
      </c>
      <c r="O42" s="14">
        <f t="shared" ca="1" si="5"/>
        <v>2.9846005826772402E-2</v>
      </c>
      <c r="P42" s="14"/>
      <c r="Q42" s="18">
        <f t="shared" si="4"/>
        <v>39601.000599999999</v>
      </c>
      <c r="R42" s="18"/>
      <c r="S42" s="18"/>
      <c r="T42" s="18"/>
      <c r="U42" s="51"/>
    </row>
    <row r="43" spans="1:22" x14ac:dyDescent="0.2">
      <c r="A43" s="38" t="s">
        <v>60</v>
      </c>
      <c r="B43" s="39" t="s">
        <v>42</v>
      </c>
      <c r="C43" s="40">
        <v>56175.45</v>
      </c>
      <c r="D43" s="40">
        <v>3.0999999999999999E-3</v>
      </c>
      <c r="E43" s="14">
        <f t="shared" si="0"/>
        <v>5803.5253632009299</v>
      </c>
      <c r="F43" s="14">
        <f t="shared" si="1"/>
        <v>5803.5</v>
      </c>
      <c r="G43" s="14">
        <f t="shared" si="2"/>
        <v>8.5207092997734435E-3</v>
      </c>
      <c r="H43" s="14"/>
      <c r="I43" s="14"/>
      <c r="J43" s="14">
        <f t="shared" si="6"/>
        <v>8.5207092997734435E-3</v>
      </c>
      <c r="O43" s="14">
        <f t="shared" ca="1" si="5"/>
        <v>1.7014138733441635E-2</v>
      </c>
      <c r="P43" s="14"/>
      <c r="Q43" s="18">
        <f t="shared" si="4"/>
        <v>41156.949999999997</v>
      </c>
      <c r="R43" s="18"/>
      <c r="S43" s="18"/>
      <c r="T43" s="18"/>
      <c r="U43" s="51"/>
    </row>
    <row r="44" spans="1:22" x14ac:dyDescent="0.2">
      <c r="A44" s="38" t="s">
        <v>60</v>
      </c>
      <c r="B44" s="39" t="s">
        <v>31</v>
      </c>
      <c r="C44" s="40">
        <v>56188.381099999999</v>
      </c>
      <c r="D44" s="40">
        <v>2.3999999999999998E-3</v>
      </c>
      <c r="E44" s="14">
        <f t="shared" si="0"/>
        <v>5842.0167699494177</v>
      </c>
      <c r="F44" s="14">
        <f t="shared" si="1"/>
        <v>5842</v>
      </c>
      <c r="G44" s="14">
        <f t="shared" si="2"/>
        <v>5.6338261274504475E-3</v>
      </c>
      <c r="H44" s="14"/>
      <c r="I44" s="14"/>
      <c r="J44" s="14">
        <f t="shared" si="6"/>
        <v>5.6338261274504475E-3</v>
      </c>
      <c r="O44" s="14">
        <f t="shared" ca="1" si="5"/>
        <v>1.6907472020045708E-2</v>
      </c>
      <c r="P44" s="14"/>
      <c r="Q44" s="18">
        <f t="shared" si="4"/>
        <v>41169.881099999999</v>
      </c>
      <c r="R44" s="18"/>
      <c r="S44" s="18"/>
      <c r="T44" s="18"/>
      <c r="U44" s="51"/>
    </row>
    <row r="45" spans="1:22" x14ac:dyDescent="0.2">
      <c r="A45" s="38" t="s">
        <v>60</v>
      </c>
      <c r="B45" s="39" t="s">
        <v>42</v>
      </c>
      <c r="C45" s="40">
        <v>56188.553200000002</v>
      </c>
      <c r="D45" s="40">
        <v>2.8E-3</v>
      </c>
      <c r="E45" s="14">
        <f t="shared" si="0"/>
        <v>5842.5290520523749</v>
      </c>
      <c r="F45" s="14">
        <f t="shared" si="1"/>
        <v>5842.5</v>
      </c>
      <c r="G45" s="14">
        <f t="shared" si="2"/>
        <v>9.7599705040920526E-3</v>
      </c>
      <c r="H45" s="14"/>
      <c r="I45" s="14"/>
      <c r="J45" s="14">
        <f t="shared" si="6"/>
        <v>9.7599705040920526E-3</v>
      </c>
      <c r="O45" s="14">
        <f t="shared" ca="1" si="5"/>
        <v>1.6906086738053553E-2</v>
      </c>
      <c r="P45" s="14"/>
      <c r="Q45" s="18">
        <f t="shared" si="4"/>
        <v>41170.053200000002</v>
      </c>
      <c r="R45" s="18"/>
      <c r="S45" s="18"/>
      <c r="T45" s="18"/>
      <c r="U45" s="51"/>
    </row>
    <row r="46" spans="1:22" x14ac:dyDescent="0.2">
      <c r="A46" s="52" t="s">
        <v>62</v>
      </c>
      <c r="B46" s="53" t="s">
        <v>31</v>
      </c>
      <c r="C46" s="54">
        <v>56563.468500000003</v>
      </c>
      <c r="D46" s="55">
        <v>2E-3</v>
      </c>
      <c r="E46" s="14">
        <f t="shared" si="0"/>
        <v>6958.5220695473827</v>
      </c>
      <c r="F46" s="14">
        <f t="shared" si="1"/>
        <v>6958.5</v>
      </c>
      <c r="G46" s="14">
        <f t="shared" si="2"/>
        <v>7.414213934680447E-3</v>
      </c>
      <c r="H46" s="14"/>
      <c r="I46" s="14"/>
      <c r="J46" s="14">
        <f t="shared" si="6"/>
        <v>7.414213934680447E-3</v>
      </c>
      <c r="K46" s="14"/>
      <c r="L46" s="14"/>
      <c r="M46" s="14"/>
      <c r="N46" s="14"/>
      <c r="O46" s="14">
        <f t="shared" ca="1" si="5"/>
        <v>1.3814137331563833E-2</v>
      </c>
      <c r="P46" s="14"/>
      <c r="Q46" s="18">
        <f t="shared" si="4"/>
        <v>41544.968500000003</v>
      </c>
      <c r="R46" s="18"/>
      <c r="S46" s="18"/>
      <c r="T46" s="18"/>
      <c r="U46" s="51"/>
    </row>
    <row r="47" spans="1:22" x14ac:dyDescent="0.2">
      <c r="A47" s="55" t="s">
        <v>63</v>
      </c>
      <c r="B47" s="57"/>
      <c r="C47" s="55">
        <v>56933.346899999997</v>
      </c>
      <c r="D47" s="55">
        <v>8.9999999999999998E-4</v>
      </c>
      <c r="E47" s="14">
        <f t="shared" si="0"/>
        <v>8059.5219799864026</v>
      </c>
      <c r="F47" s="14">
        <f t="shared" si="1"/>
        <v>8059.5</v>
      </c>
      <c r="G47" s="14">
        <f t="shared" si="2"/>
        <v>7.384126125543844E-3</v>
      </c>
      <c r="H47" s="14"/>
      <c r="I47" s="14"/>
      <c r="J47" s="14">
        <f t="shared" si="6"/>
        <v>7.384126125543844E-3</v>
      </c>
      <c r="K47" s="14"/>
      <c r="L47" s="14"/>
      <c r="M47" s="14"/>
      <c r="N47" s="14"/>
      <c r="O47" s="14">
        <f t="shared" ca="1" si="5"/>
        <v>1.0763746384838759E-2</v>
      </c>
      <c r="P47" s="14"/>
      <c r="Q47" s="18">
        <f t="shared" si="4"/>
        <v>41914.846899999997</v>
      </c>
      <c r="R47" s="18"/>
      <c r="S47" s="18"/>
      <c r="T47" s="18"/>
    </row>
    <row r="48" spans="1:22" x14ac:dyDescent="0.2">
      <c r="A48" s="55" t="s">
        <v>63</v>
      </c>
      <c r="B48" s="57"/>
      <c r="C48" s="55">
        <v>56933.514000000003</v>
      </c>
      <c r="D48" s="55">
        <v>1.9E-3</v>
      </c>
      <c r="E48" s="14">
        <f t="shared" si="0"/>
        <v>8060.0193788208326</v>
      </c>
      <c r="F48" s="14">
        <f t="shared" si="1"/>
        <v>8060</v>
      </c>
      <c r="G48" s="14">
        <f t="shared" si="2"/>
        <v>6.5102705048047937E-3</v>
      </c>
      <c r="H48" s="14"/>
      <c r="I48" s="14"/>
      <c r="J48" s="14">
        <f t="shared" si="6"/>
        <v>6.5102705048047937E-3</v>
      </c>
      <c r="K48" s="14"/>
      <c r="L48" s="14"/>
      <c r="M48" s="14"/>
      <c r="N48" s="14"/>
      <c r="O48" s="14">
        <f t="shared" ca="1" si="5"/>
        <v>1.0762361102846604E-2</v>
      </c>
      <c r="P48" s="14"/>
      <c r="Q48" s="18">
        <f t="shared" si="4"/>
        <v>41915.014000000003</v>
      </c>
      <c r="R48" s="18"/>
      <c r="S48" s="18"/>
      <c r="T48" s="18"/>
    </row>
    <row r="49" spans="1:20" x14ac:dyDescent="0.2">
      <c r="A49" s="55" t="s">
        <v>63</v>
      </c>
      <c r="B49" s="57"/>
      <c r="C49" s="55">
        <v>56934.354899999998</v>
      </c>
      <c r="D49" s="55">
        <v>1.4E-3</v>
      </c>
      <c r="E49" s="14">
        <f t="shared" si="0"/>
        <v>8062.5224469228988</v>
      </c>
      <c r="F49" s="14">
        <f t="shared" si="1"/>
        <v>8062.5</v>
      </c>
      <c r="G49" s="14">
        <f t="shared" si="2"/>
        <v>7.5409923738334328E-3</v>
      </c>
      <c r="H49" s="14"/>
      <c r="I49" s="14"/>
      <c r="J49" s="14">
        <f t="shared" si="6"/>
        <v>7.5409923738334328E-3</v>
      </c>
      <c r="K49" s="14"/>
      <c r="L49" s="14"/>
      <c r="M49" s="14"/>
      <c r="N49" s="14"/>
      <c r="O49" s="14">
        <f t="shared" ca="1" si="5"/>
        <v>1.075543469288583E-2</v>
      </c>
      <c r="P49" s="14"/>
      <c r="Q49" s="18">
        <f t="shared" si="4"/>
        <v>41915.854899999998</v>
      </c>
      <c r="R49" s="18"/>
      <c r="S49" s="18"/>
      <c r="T49" s="18"/>
    </row>
    <row r="50" spans="1:20" x14ac:dyDescent="0.2">
      <c r="A50" s="58" t="s">
        <v>64</v>
      </c>
      <c r="B50" s="59"/>
      <c r="C50" s="58">
        <v>57225.450900000003</v>
      </c>
      <c r="D50" s="58">
        <v>1.2999999999999999E-3</v>
      </c>
      <c r="E50" s="14">
        <f t="shared" si="0"/>
        <v>8929.0144343684151</v>
      </c>
      <c r="F50" s="14">
        <f t="shared" si="1"/>
        <v>8929</v>
      </c>
      <c r="G50" s="14">
        <f t="shared" si="2"/>
        <v>4.8491930356249213E-3</v>
      </c>
      <c r="H50" s="14"/>
      <c r="J50" s="14">
        <f t="shared" si="6"/>
        <v>4.8491930356249213E-3</v>
      </c>
      <c r="L50" s="14"/>
      <c r="O50" s="14">
        <f t="shared" ca="1" si="5"/>
        <v>8.354741000481402E-3</v>
      </c>
      <c r="P50" s="14"/>
      <c r="Q50" s="18">
        <f t="shared" si="4"/>
        <v>42206.950900000003</v>
      </c>
      <c r="R50" s="18"/>
      <c r="S50" s="18"/>
      <c r="T50" s="18"/>
    </row>
    <row r="51" spans="1:20" x14ac:dyDescent="0.2">
      <c r="A51" s="56" t="s">
        <v>175</v>
      </c>
      <c r="C51" s="26">
        <v>57510.839</v>
      </c>
      <c r="D51" s="26">
        <v>2.0000000000000001E-4</v>
      </c>
      <c r="E51" s="14">
        <f t="shared" si="0"/>
        <v>9778.5159801206482</v>
      </c>
      <c r="F51" s="14">
        <f t="shared" si="1"/>
        <v>9778.5</v>
      </c>
      <c r="G51" s="14">
        <f t="shared" si="2"/>
        <v>5.3684849553974345E-3</v>
      </c>
      <c r="H51" s="14"/>
      <c r="K51" s="14">
        <f t="shared" ref="K51:K57" si="7">+G51</f>
        <v>5.3684849553974345E-3</v>
      </c>
      <c r="O51" s="14">
        <f t="shared" ca="1" si="5"/>
        <v>6.0011468958102408E-3</v>
      </c>
      <c r="P51" s="14"/>
      <c r="Q51" s="18">
        <f t="shared" si="4"/>
        <v>42492.339</v>
      </c>
      <c r="R51" s="18"/>
      <c r="S51" s="18"/>
      <c r="T51" s="18"/>
    </row>
    <row r="52" spans="1:20" x14ac:dyDescent="0.2">
      <c r="A52" s="56" t="s">
        <v>176</v>
      </c>
      <c r="B52" s="6"/>
      <c r="C52" s="26">
        <v>57890.791700000002</v>
      </c>
      <c r="D52" s="26">
        <v>2.0000000000000001E-4</v>
      </c>
      <c r="E52" s="14">
        <f t="shared" si="0"/>
        <v>10909.503592998482</v>
      </c>
      <c r="F52" s="14">
        <f t="shared" si="1"/>
        <v>10909.5</v>
      </c>
      <c r="G52" s="14">
        <f t="shared" si="2"/>
        <v>1.2070596130797639E-3</v>
      </c>
      <c r="H52" s="14"/>
      <c r="K52" s="14">
        <f t="shared" si="7"/>
        <v>1.2070596130797639E-3</v>
      </c>
      <c r="O52" s="14">
        <f t="shared" ca="1" si="5"/>
        <v>2.8676390295558733E-3</v>
      </c>
      <c r="P52" s="14"/>
      <c r="Q52" s="18">
        <f t="shared" si="4"/>
        <v>42872.291700000002</v>
      </c>
      <c r="R52" s="18"/>
    </row>
    <row r="53" spans="1:20" x14ac:dyDescent="0.2">
      <c r="A53" s="75" t="s">
        <v>178</v>
      </c>
      <c r="B53" s="76" t="s">
        <v>31</v>
      </c>
      <c r="C53" s="77">
        <v>57996.452279999852</v>
      </c>
      <c r="D53" s="77">
        <v>5.0000000000000001E-4</v>
      </c>
      <c r="E53" s="14">
        <f t="shared" si="0"/>
        <v>11224.018550121613</v>
      </c>
      <c r="F53" s="14">
        <f t="shared" si="1"/>
        <v>11224</v>
      </c>
      <c r="G53" s="14">
        <f t="shared" si="2"/>
        <v>6.231870902411174E-3</v>
      </c>
      <c r="H53" s="14"/>
      <c r="K53" s="14">
        <f t="shared" si="7"/>
        <v>6.231870902411174E-3</v>
      </c>
      <c r="O53" s="14">
        <f t="shared" ca="1" si="5"/>
        <v>1.9962966564904469E-3</v>
      </c>
      <c r="P53" s="14"/>
      <c r="Q53" s="18">
        <f t="shared" si="4"/>
        <v>42977.952279999852</v>
      </c>
    </row>
    <row r="54" spans="1:20" ht="12" customHeight="1" x14ac:dyDescent="0.2">
      <c r="A54" s="56" t="s">
        <v>177</v>
      </c>
      <c r="B54" s="6"/>
      <c r="C54" s="26">
        <v>58242.862800000003</v>
      </c>
      <c r="D54" s="26">
        <v>2.0000000000000001E-4</v>
      </c>
      <c r="E54" s="14">
        <f t="shared" si="0"/>
        <v>11957.497337883759</v>
      </c>
      <c r="F54" s="14">
        <f t="shared" si="1"/>
        <v>11957.5</v>
      </c>
      <c r="G54" s="14">
        <f t="shared" si="2"/>
        <v>-8.9433186076348647E-4</v>
      </c>
      <c r="H54" s="14"/>
      <c r="K54" s="14">
        <f t="shared" si="7"/>
        <v>-8.9433186076348647E-4</v>
      </c>
      <c r="O54" s="14">
        <f t="shared" ca="1" si="5"/>
        <v>-3.5912026000783914E-5</v>
      </c>
      <c r="P54" s="14"/>
      <c r="Q54" s="18">
        <f t="shared" si="4"/>
        <v>43224.362800000003</v>
      </c>
      <c r="R54" s="18"/>
    </row>
    <row r="55" spans="1:20" ht="12" customHeight="1" x14ac:dyDescent="0.2">
      <c r="A55" s="78" t="s">
        <v>179</v>
      </c>
      <c r="B55" s="79" t="s">
        <v>42</v>
      </c>
      <c r="C55" s="80">
        <v>58242.862800000003</v>
      </c>
      <c r="D55" s="81">
        <v>2.0000000000000001E-4</v>
      </c>
      <c r="E55" s="14">
        <f t="shared" si="0"/>
        <v>11957.497337883759</v>
      </c>
      <c r="F55" s="14">
        <f t="shared" si="1"/>
        <v>11957.5</v>
      </c>
      <c r="G55" s="14">
        <f t="shared" si="2"/>
        <v>-8.9433186076348647E-4</v>
      </c>
      <c r="H55" s="14"/>
      <c r="K55" s="14">
        <f t="shared" si="7"/>
        <v>-8.9433186076348647E-4</v>
      </c>
      <c r="O55" s="14">
        <f t="shared" ca="1" si="5"/>
        <v>-3.5912026000783914E-5</v>
      </c>
      <c r="P55" s="14"/>
      <c r="Q55" s="18">
        <f t="shared" si="4"/>
        <v>43224.362800000003</v>
      </c>
    </row>
    <row r="56" spans="1:20" ht="12" customHeight="1" x14ac:dyDescent="0.2">
      <c r="A56" s="56" t="s">
        <v>177</v>
      </c>
      <c r="B56" s="6"/>
      <c r="C56" s="26">
        <v>58260.836600000002</v>
      </c>
      <c r="D56" s="26">
        <v>4.0000000000000002E-4</v>
      </c>
      <c r="E56" s="14">
        <f t="shared" si="0"/>
        <v>12010.999116279711</v>
      </c>
      <c r="F56" s="14">
        <f t="shared" si="1"/>
        <v>12011</v>
      </c>
      <c r="G56" s="14">
        <f t="shared" si="2"/>
        <v>-2.96883808914572E-4</v>
      </c>
      <c r="H56" s="14"/>
      <c r="K56" s="14">
        <f t="shared" si="7"/>
        <v>-2.96883808914572E-4</v>
      </c>
      <c r="O56" s="14">
        <f t="shared" ca="1" si="5"/>
        <v>-1.8413719916135496E-4</v>
      </c>
      <c r="P56" s="14"/>
      <c r="Q56" s="18">
        <f t="shared" si="4"/>
        <v>43242.336600000002</v>
      </c>
    </row>
    <row r="57" spans="1:20" ht="12" customHeight="1" x14ac:dyDescent="0.2">
      <c r="A57" s="78" t="s">
        <v>179</v>
      </c>
      <c r="B57" s="79" t="s">
        <v>42</v>
      </c>
      <c r="C57" s="80">
        <v>58260.836600000002</v>
      </c>
      <c r="D57" s="81">
        <v>4.0000000000000002E-4</v>
      </c>
      <c r="E57" s="14">
        <f t="shared" si="0"/>
        <v>12010.999116279711</v>
      </c>
      <c r="F57" s="14">
        <f t="shared" si="1"/>
        <v>12011</v>
      </c>
      <c r="G57" s="14">
        <f t="shared" si="2"/>
        <v>-2.96883808914572E-4</v>
      </c>
      <c r="H57" s="14"/>
      <c r="K57" s="14">
        <f t="shared" si="7"/>
        <v>-2.96883808914572E-4</v>
      </c>
      <c r="O57" s="14">
        <f t="shared" ca="1" si="5"/>
        <v>-1.8413719916135496E-4</v>
      </c>
      <c r="P57" s="14"/>
      <c r="Q57" s="18">
        <f t="shared" si="4"/>
        <v>43242.336600000002</v>
      </c>
    </row>
    <row r="58" spans="1:20" ht="12" customHeight="1" x14ac:dyDescent="0.2">
      <c r="B58" s="6"/>
      <c r="C58" s="26"/>
      <c r="D58" s="26"/>
    </row>
    <row r="59" spans="1:20" ht="12" customHeight="1" x14ac:dyDescent="0.2">
      <c r="B59" s="6"/>
      <c r="C59" s="26"/>
      <c r="D59" s="26"/>
    </row>
    <row r="60" spans="1:20" ht="12" customHeight="1" x14ac:dyDescent="0.2">
      <c r="B60" s="6"/>
      <c r="C60" s="26"/>
      <c r="D60" s="26"/>
    </row>
    <row r="61" spans="1:20" x14ac:dyDescent="0.2">
      <c r="B61" s="6"/>
      <c r="C61" s="26"/>
      <c r="D61" s="26"/>
    </row>
    <row r="62" spans="1:20" x14ac:dyDescent="0.2">
      <c r="B62" s="6"/>
      <c r="C62" s="26"/>
      <c r="D62" s="26"/>
    </row>
    <row r="63" spans="1:20" x14ac:dyDescent="0.2">
      <c r="B63" s="6"/>
      <c r="C63" s="26"/>
      <c r="D63" s="26"/>
    </row>
    <row r="64" spans="1:20" x14ac:dyDescent="0.2">
      <c r="B64" s="6"/>
      <c r="C64" s="26"/>
      <c r="D64" s="26"/>
    </row>
    <row r="65" spans="3:4" x14ac:dyDescent="0.2">
      <c r="C65" s="26"/>
      <c r="D65" s="26"/>
    </row>
    <row r="66" spans="3:4" x14ac:dyDescent="0.2">
      <c r="C66" s="26"/>
      <c r="D66" s="26"/>
    </row>
    <row r="67" spans="3:4" x14ac:dyDescent="0.2">
      <c r="C67" s="26"/>
      <c r="D67" s="26"/>
    </row>
    <row r="68" spans="3:4" x14ac:dyDescent="0.2">
      <c r="C68" s="26"/>
      <c r="D68" s="26"/>
    </row>
    <row r="69" spans="3:4" x14ac:dyDescent="0.2">
      <c r="C69" s="26"/>
      <c r="D69" s="26"/>
    </row>
    <row r="70" spans="3:4" x14ac:dyDescent="0.2">
      <c r="C70" s="26"/>
      <c r="D70" s="26"/>
    </row>
    <row r="71" spans="3:4" x14ac:dyDescent="0.2">
      <c r="C71" s="26"/>
      <c r="D71" s="26"/>
    </row>
    <row r="72" spans="3:4" x14ac:dyDescent="0.2">
      <c r="C72" s="26"/>
      <c r="D72" s="26"/>
    </row>
    <row r="73" spans="3:4" x14ac:dyDescent="0.2">
      <c r="C73" s="26"/>
      <c r="D73" s="26"/>
    </row>
    <row r="74" spans="3:4" x14ac:dyDescent="0.2">
      <c r="C74" s="26"/>
      <c r="D74" s="26"/>
    </row>
    <row r="75" spans="3:4" x14ac:dyDescent="0.2">
      <c r="C75" s="26"/>
      <c r="D75" s="26"/>
    </row>
    <row r="76" spans="3:4" x14ac:dyDescent="0.2">
      <c r="C76" s="26"/>
      <c r="D76" s="26"/>
    </row>
    <row r="77" spans="3:4" x14ac:dyDescent="0.2">
      <c r="C77" s="26"/>
      <c r="D77" s="26"/>
    </row>
    <row r="78" spans="3:4" x14ac:dyDescent="0.2">
      <c r="C78" s="26"/>
      <c r="D78" s="26"/>
    </row>
    <row r="79" spans="3:4" x14ac:dyDescent="0.2">
      <c r="C79" s="26"/>
      <c r="D79" s="26"/>
    </row>
    <row r="80" spans="3:4" x14ac:dyDescent="0.2">
      <c r="C80" s="26"/>
      <c r="D80" s="26"/>
    </row>
    <row r="81" spans="3:4" x14ac:dyDescent="0.2">
      <c r="C81" s="26"/>
      <c r="D81" s="26"/>
    </row>
    <row r="82" spans="3:4" x14ac:dyDescent="0.2">
      <c r="C82" s="26"/>
      <c r="D82" s="26"/>
    </row>
    <row r="83" spans="3:4" x14ac:dyDescent="0.2">
      <c r="C83" s="26"/>
      <c r="D83" s="26"/>
    </row>
    <row r="84" spans="3:4" x14ac:dyDescent="0.2">
      <c r="C84" s="26"/>
      <c r="D84" s="26"/>
    </row>
    <row r="85" spans="3:4" x14ac:dyDescent="0.2">
      <c r="C85" s="26"/>
      <c r="D85" s="26"/>
    </row>
    <row r="86" spans="3:4" x14ac:dyDescent="0.2">
      <c r="C86" s="26"/>
      <c r="D86" s="26"/>
    </row>
    <row r="87" spans="3:4" x14ac:dyDescent="0.2">
      <c r="C87" s="26"/>
      <c r="D87" s="26"/>
    </row>
    <row r="88" spans="3:4" x14ac:dyDescent="0.2">
      <c r="C88" s="26"/>
      <c r="D88" s="26"/>
    </row>
    <row r="89" spans="3:4" x14ac:dyDescent="0.2">
      <c r="C89" s="26"/>
      <c r="D89" s="26"/>
    </row>
    <row r="90" spans="3:4" x14ac:dyDescent="0.2">
      <c r="C90" s="26"/>
      <c r="D90" s="26"/>
    </row>
    <row r="91" spans="3:4" x14ac:dyDescent="0.2">
      <c r="C91" s="26"/>
      <c r="D91" s="26"/>
    </row>
    <row r="92" spans="3:4" x14ac:dyDescent="0.2">
      <c r="C92" s="26"/>
      <c r="D92" s="26"/>
    </row>
    <row r="93" spans="3:4" x14ac:dyDescent="0.2">
      <c r="C93" s="26"/>
      <c r="D93" s="26"/>
    </row>
    <row r="94" spans="3:4" x14ac:dyDescent="0.2">
      <c r="C94" s="26"/>
      <c r="D94" s="26"/>
    </row>
    <row r="95" spans="3:4" x14ac:dyDescent="0.2">
      <c r="C95" s="26"/>
      <c r="D95" s="26"/>
    </row>
    <row r="96" spans="3:4" x14ac:dyDescent="0.2">
      <c r="C96" s="26"/>
      <c r="D96" s="26"/>
    </row>
    <row r="97" spans="3:4" x14ac:dyDescent="0.2">
      <c r="C97" s="26"/>
      <c r="D97" s="26"/>
    </row>
    <row r="98" spans="3:4" x14ac:dyDescent="0.2">
      <c r="C98" s="26"/>
      <c r="D98" s="26"/>
    </row>
    <row r="99" spans="3:4" x14ac:dyDescent="0.2">
      <c r="C99" s="26"/>
      <c r="D99" s="26"/>
    </row>
    <row r="100" spans="3:4" x14ac:dyDescent="0.2">
      <c r="C100" s="26"/>
      <c r="D100" s="26"/>
    </row>
    <row r="101" spans="3:4" x14ac:dyDescent="0.2">
      <c r="C101" s="26"/>
      <c r="D101" s="26"/>
    </row>
    <row r="102" spans="3:4" x14ac:dyDescent="0.2">
      <c r="C102" s="26"/>
      <c r="D102" s="26"/>
    </row>
    <row r="103" spans="3:4" x14ac:dyDescent="0.2">
      <c r="C103" s="26"/>
      <c r="D103" s="26"/>
    </row>
    <row r="104" spans="3:4" x14ac:dyDescent="0.2">
      <c r="C104" s="26"/>
      <c r="D104" s="26"/>
    </row>
    <row r="105" spans="3:4" x14ac:dyDescent="0.2">
      <c r="C105" s="26"/>
      <c r="D105" s="26"/>
    </row>
    <row r="106" spans="3:4" x14ac:dyDescent="0.2">
      <c r="C106" s="26"/>
      <c r="D106" s="26"/>
    </row>
    <row r="107" spans="3:4" x14ac:dyDescent="0.2">
      <c r="C107" s="26"/>
      <c r="D107" s="26"/>
    </row>
    <row r="108" spans="3:4" x14ac:dyDescent="0.2">
      <c r="C108" s="26"/>
      <c r="D108" s="26"/>
    </row>
    <row r="109" spans="3:4" x14ac:dyDescent="0.2">
      <c r="C109" s="26"/>
      <c r="D109" s="26"/>
    </row>
    <row r="110" spans="3:4" x14ac:dyDescent="0.2">
      <c r="C110" s="26"/>
      <c r="D110" s="26"/>
    </row>
    <row r="111" spans="3:4" x14ac:dyDescent="0.2">
      <c r="C111" s="26"/>
      <c r="D111" s="26"/>
    </row>
    <row r="112" spans="3:4" x14ac:dyDescent="0.2">
      <c r="C112" s="26"/>
      <c r="D112" s="26"/>
    </row>
    <row r="113" spans="3:4" x14ac:dyDescent="0.2">
      <c r="C113" s="26"/>
      <c r="D113" s="26"/>
    </row>
    <row r="114" spans="3:4" x14ac:dyDescent="0.2">
      <c r="C114" s="26"/>
      <c r="D114" s="26"/>
    </row>
    <row r="115" spans="3:4" x14ac:dyDescent="0.2">
      <c r="C115" s="26"/>
      <c r="D115" s="26"/>
    </row>
    <row r="116" spans="3:4" x14ac:dyDescent="0.2">
      <c r="C116" s="26"/>
      <c r="D116" s="26"/>
    </row>
    <row r="117" spans="3:4" x14ac:dyDescent="0.2">
      <c r="C117" s="26"/>
      <c r="D117" s="26"/>
    </row>
    <row r="118" spans="3:4" x14ac:dyDescent="0.2">
      <c r="C118" s="26"/>
      <c r="D118" s="26"/>
    </row>
    <row r="119" spans="3:4" x14ac:dyDescent="0.2">
      <c r="C119" s="26"/>
      <c r="D119" s="26"/>
    </row>
    <row r="120" spans="3:4" x14ac:dyDescent="0.2">
      <c r="C120" s="26"/>
      <c r="D120" s="26"/>
    </row>
    <row r="121" spans="3:4" x14ac:dyDescent="0.2">
      <c r="C121" s="26"/>
      <c r="D121" s="26"/>
    </row>
    <row r="122" spans="3:4" x14ac:dyDescent="0.2">
      <c r="C122" s="26"/>
      <c r="D122" s="26"/>
    </row>
    <row r="123" spans="3:4" x14ac:dyDescent="0.2">
      <c r="C123" s="26"/>
      <c r="D123" s="26"/>
    </row>
    <row r="124" spans="3:4" x14ac:dyDescent="0.2">
      <c r="C124" s="26"/>
      <c r="D124" s="26"/>
    </row>
    <row r="125" spans="3:4" x14ac:dyDescent="0.2">
      <c r="C125" s="26"/>
      <c r="D125" s="26"/>
    </row>
    <row r="126" spans="3:4" x14ac:dyDescent="0.2">
      <c r="C126" s="26"/>
      <c r="D126" s="26"/>
    </row>
    <row r="127" spans="3:4" x14ac:dyDescent="0.2">
      <c r="C127" s="26"/>
      <c r="D127" s="26"/>
    </row>
    <row r="128" spans="3:4" x14ac:dyDescent="0.2">
      <c r="C128" s="26"/>
      <c r="D128" s="26"/>
    </row>
    <row r="129" spans="3:4" x14ac:dyDescent="0.2">
      <c r="C129" s="26"/>
      <c r="D129" s="26"/>
    </row>
    <row r="130" spans="3:4" x14ac:dyDescent="0.2">
      <c r="C130" s="26"/>
      <c r="D130" s="26"/>
    </row>
    <row r="131" spans="3:4" x14ac:dyDescent="0.2">
      <c r="C131" s="26"/>
      <c r="D131" s="26"/>
    </row>
    <row r="132" spans="3:4" x14ac:dyDescent="0.2">
      <c r="C132" s="26"/>
      <c r="D132" s="26"/>
    </row>
    <row r="133" spans="3:4" x14ac:dyDescent="0.2">
      <c r="C133" s="26"/>
      <c r="D133" s="26"/>
    </row>
    <row r="134" spans="3:4" x14ac:dyDescent="0.2">
      <c r="C134" s="26"/>
      <c r="D134" s="26"/>
    </row>
    <row r="135" spans="3:4" x14ac:dyDescent="0.2">
      <c r="C135" s="26"/>
      <c r="D135" s="26"/>
    </row>
    <row r="136" spans="3:4" x14ac:dyDescent="0.2">
      <c r="C136" s="26"/>
      <c r="D136" s="26"/>
    </row>
    <row r="137" spans="3:4" x14ac:dyDescent="0.2">
      <c r="C137" s="26"/>
      <c r="D137" s="26"/>
    </row>
    <row r="138" spans="3:4" x14ac:dyDescent="0.2">
      <c r="C138" s="26"/>
      <c r="D138" s="26"/>
    </row>
    <row r="139" spans="3:4" x14ac:dyDescent="0.2">
      <c r="C139" s="26"/>
      <c r="D139" s="26"/>
    </row>
    <row r="140" spans="3:4" x14ac:dyDescent="0.2">
      <c r="C140" s="26"/>
      <c r="D140" s="26"/>
    </row>
    <row r="141" spans="3:4" x14ac:dyDescent="0.2">
      <c r="C141" s="26"/>
      <c r="D141" s="26"/>
    </row>
    <row r="142" spans="3:4" x14ac:dyDescent="0.2">
      <c r="C142" s="26"/>
      <c r="D142" s="26"/>
    </row>
    <row r="143" spans="3:4" x14ac:dyDescent="0.2">
      <c r="C143" s="26"/>
      <c r="D143" s="26"/>
    </row>
    <row r="144" spans="3:4" x14ac:dyDescent="0.2">
      <c r="C144" s="26"/>
      <c r="D144" s="26"/>
    </row>
    <row r="145" spans="3:4" x14ac:dyDescent="0.2">
      <c r="C145" s="26"/>
      <c r="D145" s="26"/>
    </row>
    <row r="146" spans="3:4" x14ac:dyDescent="0.2">
      <c r="C146" s="26"/>
      <c r="D146" s="26"/>
    </row>
    <row r="147" spans="3:4" x14ac:dyDescent="0.2">
      <c r="C147" s="26"/>
      <c r="D147" s="26"/>
    </row>
    <row r="148" spans="3:4" x14ac:dyDescent="0.2">
      <c r="C148" s="26"/>
      <c r="D148" s="26"/>
    </row>
  </sheetData>
  <protectedRanges>
    <protectedRange sqref="A55:D55" name="Range1"/>
  </protectedRanges>
  <sortState xmlns:xlrd2="http://schemas.microsoft.com/office/spreadsheetml/2017/richdata2" ref="A21:W57">
    <sortCondition ref="C21:C57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4"/>
  <sheetViews>
    <sheetView workbookViewId="0">
      <selection activeCell="A27" sqref="A27:D35"/>
    </sheetView>
  </sheetViews>
  <sheetFormatPr defaultRowHeight="12.75" x14ac:dyDescent="0.2"/>
  <cols>
    <col min="1" max="1" width="19.7109375" style="26" customWidth="1"/>
    <col min="2" max="2" width="4.42578125" style="13" customWidth="1"/>
    <col min="3" max="3" width="12.7109375" style="26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26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60" t="s">
        <v>65</v>
      </c>
      <c r="I1" s="61" t="s">
        <v>66</v>
      </c>
      <c r="J1" s="62" t="s">
        <v>67</v>
      </c>
    </row>
    <row r="2" spans="1:16" x14ac:dyDescent="0.2">
      <c r="I2" s="63" t="s">
        <v>68</v>
      </c>
      <c r="J2" s="64" t="s">
        <v>69</v>
      </c>
    </row>
    <row r="3" spans="1:16" x14ac:dyDescent="0.2">
      <c r="A3" s="65" t="s">
        <v>70</v>
      </c>
      <c r="I3" s="63" t="s">
        <v>71</v>
      </c>
      <c r="J3" s="64" t="s">
        <v>72</v>
      </c>
    </row>
    <row r="4" spans="1:16" x14ac:dyDescent="0.2">
      <c r="I4" s="63" t="s">
        <v>73</v>
      </c>
      <c r="J4" s="64" t="s">
        <v>72</v>
      </c>
    </row>
    <row r="5" spans="1:16" ht="13.5" thickBot="1" x14ac:dyDescent="0.25">
      <c r="I5" s="66" t="s">
        <v>74</v>
      </c>
      <c r="J5" s="67" t="s">
        <v>75</v>
      </c>
    </row>
    <row r="10" spans="1:16" ht="13.5" thickBot="1" x14ac:dyDescent="0.25"/>
    <row r="11" spans="1:16" ht="12.75" customHeight="1" thickBot="1" x14ac:dyDescent="0.25">
      <c r="A11" s="26" t="str">
        <f t="shared" ref="A11:A35" si="0">P11</f>
        <v> BBS 130 </v>
      </c>
      <c r="B11" s="6" t="str">
        <f t="shared" ref="B11:B35" si="1">IF(H11=INT(H11),"I","II")</f>
        <v>I</v>
      </c>
      <c r="C11" s="26">
        <f t="shared" ref="C11:C35" si="2">1*G11</f>
        <v>52820.499799999998</v>
      </c>
      <c r="D11" s="13" t="str">
        <f t="shared" ref="D11:D35" si="3">VLOOKUP(F11,I$1:J$5,2,FALSE)</f>
        <v>vis</v>
      </c>
      <c r="E11" s="68">
        <f>VLOOKUP(C11,Active!C$21:E$973,3,FALSE)</f>
        <v>-4182.9995858834973</v>
      </c>
      <c r="F11" s="6" t="s">
        <v>74</v>
      </c>
      <c r="G11" s="13" t="str">
        <f t="shared" ref="G11:G35" si="4">MID(I11,3,LEN(I11)-3)</f>
        <v>52820.4998</v>
      </c>
      <c r="H11" s="26">
        <f t="shared" ref="H11:H35" si="5">1*K11</f>
        <v>954</v>
      </c>
      <c r="I11" s="69" t="s">
        <v>109</v>
      </c>
      <c r="J11" s="70" t="s">
        <v>110</v>
      </c>
      <c r="K11" s="69">
        <v>954</v>
      </c>
      <c r="L11" s="69" t="s">
        <v>111</v>
      </c>
      <c r="M11" s="70" t="s">
        <v>79</v>
      </c>
      <c r="N11" s="70" t="s">
        <v>80</v>
      </c>
      <c r="O11" s="71" t="s">
        <v>81</v>
      </c>
      <c r="P11" s="71" t="s">
        <v>112</v>
      </c>
    </row>
    <row r="12" spans="1:16" ht="12.75" customHeight="1" thickBot="1" x14ac:dyDescent="0.25">
      <c r="A12" s="26" t="str">
        <f t="shared" si="0"/>
        <v>IBVS 5653 </v>
      </c>
      <c r="B12" s="6" t="str">
        <f t="shared" si="1"/>
        <v>I</v>
      </c>
      <c r="C12" s="26">
        <f t="shared" si="2"/>
        <v>53233.3799</v>
      </c>
      <c r="D12" s="13" t="str">
        <f t="shared" si="3"/>
        <v>vis</v>
      </c>
      <c r="E12" s="68">
        <f>VLOOKUP(C12,Active!C$21:E$973,3,FALSE)</f>
        <v>-2953.99850573915</v>
      </c>
      <c r="F12" s="6" t="s">
        <v>74</v>
      </c>
      <c r="G12" s="13" t="str">
        <f t="shared" si="4"/>
        <v>53233.3799</v>
      </c>
      <c r="H12" s="26">
        <f t="shared" si="5"/>
        <v>2183</v>
      </c>
      <c r="I12" s="69" t="s">
        <v>113</v>
      </c>
      <c r="J12" s="70" t="s">
        <v>114</v>
      </c>
      <c r="K12" s="69">
        <v>2183</v>
      </c>
      <c r="L12" s="69" t="s">
        <v>115</v>
      </c>
      <c r="M12" s="70" t="s">
        <v>79</v>
      </c>
      <c r="N12" s="70" t="s">
        <v>80</v>
      </c>
      <c r="O12" s="71" t="s">
        <v>81</v>
      </c>
      <c r="P12" s="72" t="s">
        <v>116</v>
      </c>
    </row>
    <row r="13" spans="1:16" ht="12.75" customHeight="1" thickBot="1" x14ac:dyDescent="0.25">
      <c r="A13" s="26" t="str">
        <f t="shared" si="0"/>
        <v>IBVS 5713 </v>
      </c>
      <c r="B13" s="6" t="str">
        <f t="shared" si="1"/>
        <v>I</v>
      </c>
      <c r="C13" s="26">
        <f t="shared" si="2"/>
        <v>53652.306400000001</v>
      </c>
      <c r="D13" s="13" t="str">
        <f t="shared" si="3"/>
        <v>vis</v>
      </c>
      <c r="E13" s="68">
        <f>VLOOKUP(C13,Active!C$21:E$973,3,FALSE)</f>
        <v>-1706.9993866217835</v>
      </c>
      <c r="F13" s="6" t="s">
        <v>74</v>
      </c>
      <c r="G13" s="13" t="str">
        <f t="shared" si="4"/>
        <v>53652.3064</v>
      </c>
      <c r="H13" s="26">
        <f t="shared" si="5"/>
        <v>3430</v>
      </c>
      <c r="I13" s="69" t="s">
        <v>117</v>
      </c>
      <c r="J13" s="70" t="s">
        <v>118</v>
      </c>
      <c r="K13" s="69">
        <v>3430</v>
      </c>
      <c r="L13" s="69" t="s">
        <v>119</v>
      </c>
      <c r="M13" s="70" t="s">
        <v>79</v>
      </c>
      <c r="N13" s="70" t="s">
        <v>80</v>
      </c>
      <c r="O13" s="71" t="s">
        <v>81</v>
      </c>
      <c r="P13" s="72" t="s">
        <v>120</v>
      </c>
    </row>
    <row r="14" spans="1:16" ht="12.75" customHeight="1" thickBot="1" x14ac:dyDescent="0.25">
      <c r="A14" s="26" t="str">
        <f t="shared" si="0"/>
        <v> BBS 133 (=IBVS 5781) </v>
      </c>
      <c r="B14" s="6" t="str">
        <f t="shared" si="1"/>
        <v>II</v>
      </c>
      <c r="C14" s="26">
        <f t="shared" si="2"/>
        <v>54019.329400000002</v>
      </c>
      <c r="D14" s="13" t="str">
        <f t="shared" si="3"/>
        <v>vis</v>
      </c>
      <c r="E14" s="68">
        <f>VLOOKUP(C14,Active!C$21:E$973,3,FALSE)</f>
        <v>-614.4990131772463</v>
      </c>
      <c r="F14" s="6" t="s">
        <v>74</v>
      </c>
      <c r="G14" s="13" t="str">
        <f t="shared" si="4"/>
        <v>54019.3294</v>
      </c>
      <c r="H14" s="26">
        <f t="shared" si="5"/>
        <v>4522.5</v>
      </c>
      <c r="I14" s="69" t="s">
        <v>121</v>
      </c>
      <c r="J14" s="70" t="s">
        <v>122</v>
      </c>
      <c r="K14" s="69">
        <v>4522.5</v>
      </c>
      <c r="L14" s="69" t="s">
        <v>123</v>
      </c>
      <c r="M14" s="70" t="s">
        <v>124</v>
      </c>
      <c r="N14" s="70" t="s">
        <v>125</v>
      </c>
      <c r="O14" s="71" t="s">
        <v>81</v>
      </c>
      <c r="P14" s="71" t="s">
        <v>126</v>
      </c>
    </row>
    <row r="15" spans="1:16" ht="12.75" customHeight="1" thickBot="1" x14ac:dyDescent="0.25">
      <c r="A15" s="26" t="str">
        <f t="shared" si="0"/>
        <v>BAVM 241 (=IBVS 6157) </v>
      </c>
      <c r="B15" s="6" t="str">
        <f t="shared" si="1"/>
        <v>I</v>
      </c>
      <c r="C15" s="26">
        <f t="shared" si="2"/>
        <v>57225.450900000003</v>
      </c>
      <c r="D15" s="13" t="str">
        <f t="shared" si="3"/>
        <v>vis</v>
      </c>
      <c r="E15" s="68">
        <f>VLOOKUP(C15,Active!C$21:E$973,3,FALSE)</f>
        <v>8929.0144343684151</v>
      </c>
      <c r="F15" s="6" t="s">
        <v>74</v>
      </c>
      <c r="G15" s="13" t="str">
        <f t="shared" si="4"/>
        <v>57225.4509</v>
      </c>
      <c r="H15" s="26">
        <f t="shared" si="5"/>
        <v>14066</v>
      </c>
      <c r="I15" s="69" t="s">
        <v>170</v>
      </c>
      <c r="J15" s="70" t="s">
        <v>171</v>
      </c>
      <c r="K15" s="69" t="s">
        <v>172</v>
      </c>
      <c r="L15" s="69" t="s">
        <v>173</v>
      </c>
      <c r="M15" s="70" t="s">
        <v>124</v>
      </c>
      <c r="N15" s="70" t="s">
        <v>144</v>
      </c>
      <c r="O15" s="71" t="s">
        <v>155</v>
      </c>
      <c r="P15" s="72" t="s">
        <v>174</v>
      </c>
    </row>
    <row r="16" spans="1:16" ht="12.75" customHeight="1" thickBot="1" x14ac:dyDescent="0.25">
      <c r="A16" s="26" t="str">
        <f t="shared" si="0"/>
        <v>IBVS 5820 </v>
      </c>
      <c r="B16" s="6" t="str">
        <f t="shared" si="1"/>
        <v>II</v>
      </c>
      <c r="C16" s="26">
        <f t="shared" si="2"/>
        <v>54225.936399999999</v>
      </c>
      <c r="D16" s="13" t="str">
        <f t="shared" si="3"/>
        <v>vis</v>
      </c>
      <c r="E16" s="68">
        <f>VLOOKUP(C16,Active!C$21:E$973,3,FALSE)</f>
        <v>0.49847923127001492</v>
      </c>
      <c r="F16" s="6" t="s">
        <v>74</v>
      </c>
      <c r="G16" s="13" t="str">
        <f t="shared" si="4"/>
        <v>54225.9364</v>
      </c>
      <c r="H16" s="26">
        <f t="shared" si="5"/>
        <v>5137.5</v>
      </c>
      <c r="I16" s="69" t="s">
        <v>127</v>
      </c>
      <c r="J16" s="70" t="s">
        <v>128</v>
      </c>
      <c r="K16" s="69">
        <v>5137.5</v>
      </c>
      <c r="L16" s="69" t="s">
        <v>103</v>
      </c>
      <c r="M16" s="70" t="s">
        <v>124</v>
      </c>
      <c r="N16" s="70" t="s">
        <v>125</v>
      </c>
      <c r="O16" s="71" t="s">
        <v>129</v>
      </c>
      <c r="P16" s="72" t="s">
        <v>130</v>
      </c>
    </row>
    <row r="17" spans="1:16" ht="12.75" customHeight="1" thickBot="1" x14ac:dyDescent="0.25">
      <c r="A17" s="26" t="str">
        <f t="shared" si="0"/>
        <v>IBVS 5837 </v>
      </c>
      <c r="B17" s="6" t="str">
        <f t="shared" si="1"/>
        <v>II</v>
      </c>
      <c r="C17" s="26">
        <f t="shared" si="2"/>
        <v>54407.345800000003</v>
      </c>
      <c r="D17" s="13" t="str">
        <f t="shared" si="3"/>
        <v>vis</v>
      </c>
      <c r="E17" s="68">
        <f>VLOOKUP(C17,Active!C$21:E$973,3,FALSE)</f>
        <v>540.49144219640664</v>
      </c>
      <c r="F17" s="6" t="s">
        <v>74</v>
      </c>
      <c r="G17" s="13" t="str">
        <f t="shared" si="4"/>
        <v>54407.3458</v>
      </c>
      <c r="H17" s="26">
        <f t="shared" si="5"/>
        <v>5677.5</v>
      </c>
      <c r="I17" s="69" t="s">
        <v>131</v>
      </c>
      <c r="J17" s="70" t="s">
        <v>132</v>
      </c>
      <c r="K17" s="69">
        <v>5677.5</v>
      </c>
      <c r="L17" s="69" t="s">
        <v>133</v>
      </c>
      <c r="M17" s="70" t="s">
        <v>124</v>
      </c>
      <c r="N17" s="70" t="s">
        <v>66</v>
      </c>
      <c r="O17" s="71" t="s">
        <v>81</v>
      </c>
      <c r="P17" s="72" t="s">
        <v>134</v>
      </c>
    </row>
    <row r="18" spans="1:16" ht="12.75" customHeight="1" thickBot="1" x14ac:dyDescent="0.25">
      <c r="A18" s="26" t="str">
        <f t="shared" si="0"/>
        <v>BAVM 201 </v>
      </c>
      <c r="B18" s="6" t="str">
        <f t="shared" si="1"/>
        <v>I</v>
      </c>
      <c r="C18" s="26">
        <f t="shared" si="2"/>
        <v>54619.500599999999</v>
      </c>
      <c r="D18" s="13" t="str">
        <f t="shared" si="3"/>
        <v>vis</v>
      </c>
      <c r="E18" s="68">
        <f>VLOOKUP(C18,Active!C$21:E$973,3,FALSE)</f>
        <v>1172.0028140397155</v>
      </c>
      <c r="F18" s="6" t="s">
        <v>74</v>
      </c>
      <c r="G18" s="13" t="str">
        <f t="shared" si="4"/>
        <v>54619.5006</v>
      </c>
      <c r="H18" s="26">
        <f t="shared" si="5"/>
        <v>6309</v>
      </c>
      <c r="I18" s="69" t="s">
        <v>135</v>
      </c>
      <c r="J18" s="70" t="s">
        <v>136</v>
      </c>
      <c r="K18" s="69">
        <v>6309</v>
      </c>
      <c r="L18" s="69" t="s">
        <v>137</v>
      </c>
      <c r="M18" s="70" t="s">
        <v>124</v>
      </c>
      <c r="N18" s="70" t="s">
        <v>138</v>
      </c>
      <c r="O18" s="71" t="s">
        <v>139</v>
      </c>
      <c r="P18" s="72" t="s">
        <v>140</v>
      </c>
    </row>
    <row r="19" spans="1:16" ht="12.75" customHeight="1" thickBot="1" x14ac:dyDescent="0.25">
      <c r="A19" s="26" t="str">
        <f t="shared" si="0"/>
        <v>BAVM 201 </v>
      </c>
      <c r="B19" s="6" t="str">
        <f t="shared" si="1"/>
        <v>I</v>
      </c>
      <c r="C19" s="26">
        <f t="shared" si="2"/>
        <v>54619.500599999999</v>
      </c>
      <c r="D19" s="13" t="str">
        <f t="shared" si="3"/>
        <v>vis</v>
      </c>
      <c r="E19" s="68">
        <f>VLOOKUP(C19,Active!C$21:E$973,3,FALSE)</f>
        <v>1172.0028140397155</v>
      </c>
      <c r="F19" s="6" t="s">
        <v>74</v>
      </c>
      <c r="G19" s="13" t="str">
        <f t="shared" si="4"/>
        <v>54619.5006</v>
      </c>
      <c r="H19" s="26">
        <f t="shared" si="5"/>
        <v>6309</v>
      </c>
      <c r="I19" s="69" t="s">
        <v>135</v>
      </c>
      <c r="J19" s="70" t="s">
        <v>136</v>
      </c>
      <c r="K19" s="69">
        <v>6309</v>
      </c>
      <c r="L19" s="69" t="s">
        <v>137</v>
      </c>
      <c r="M19" s="70" t="s">
        <v>124</v>
      </c>
      <c r="N19" s="70" t="s">
        <v>74</v>
      </c>
      <c r="O19" s="71" t="s">
        <v>139</v>
      </c>
      <c r="P19" s="72" t="s">
        <v>140</v>
      </c>
    </row>
    <row r="20" spans="1:16" ht="12.75" customHeight="1" thickBot="1" x14ac:dyDescent="0.25">
      <c r="A20" s="26" t="str">
        <f t="shared" si="0"/>
        <v>BAVM 231 </v>
      </c>
      <c r="B20" s="6" t="str">
        <f t="shared" si="1"/>
        <v>II</v>
      </c>
      <c r="C20" s="26">
        <f t="shared" si="2"/>
        <v>56175.45</v>
      </c>
      <c r="D20" s="13" t="str">
        <f t="shared" si="3"/>
        <v>vis</v>
      </c>
      <c r="E20" s="68">
        <f>VLOOKUP(C20,Active!C$21:E$973,3,FALSE)</f>
        <v>5803.5253632009299</v>
      </c>
      <c r="F20" s="6" t="s">
        <v>74</v>
      </c>
      <c r="G20" s="13" t="str">
        <f t="shared" si="4"/>
        <v>56175.4500</v>
      </c>
      <c r="H20" s="26">
        <f t="shared" si="5"/>
        <v>10940.5</v>
      </c>
      <c r="I20" s="69" t="s">
        <v>141</v>
      </c>
      <c r="J20" s="70" t="s">
        <v>142</v>
      </c>
      <c r="K20" s="69">
        <v>10940.5</v>
      </c>
      <c r="L20" s="69" t="s">
        <v>143</v>
      </c>
      <c r="M20" s="70" t="s">
        <v>124</v>
      </c>
      <c r="N20" s="70" t="s">
        <v>144</v>
      </c>
      <c r="O20" s="71" t="s">
        <v>145</v>
      </c>
      <c r="P20" s="72" t="s">
        <v>146</v>
      </c>
    </row>
    <row r="21" spans="1:16" ht="12.75" customHeight="1" thickBot="1" x14ac:dyDescent="0.25">
      <c r="A21" s="26" t="str">
        <f t="shared" si="0"/>
        <v>BAVM 231 </v>
      </c>
      <c r="B21" s="6" t="str">
        <f t="shared" si="1"/>
        <v>I</v>
      </c>
      <c r="C21" s="26">
        <f t="shared" si="2"/>
        <v>56188.381099999999</v>
      </c>
      <c r="D21" s="13" t="str">
        <f t="shared" si="3"/>
        <v>vis</v>
      </c>
      <c r="E21" s="68">
        <f>VLOOKUP(C21,Active!C$21:E$973,3,FALSE)</f>
        <v>5842.0167699494177</v>
      </c>
      <c r="F21" s="6" t="s">
        <v>74</v>
      </c>
      <c r="G21" s="13" t="str">
        <f t="shared" si="4"/>
        <v>56188.3811</v>
      </c>
      <c r="H21" s="26">
        <f t="shared" si="5"/>
        <v>10979</v>
      </c>
      <c r="I21" s="69" t="s">
        <v>147</v>
      </c>
      <c r="J21" s="70" t="s">
        <v>148</v>
      </c>
      <c r="K21" s="69">
        <v>10979</v>
      </c>
      <c r="L21" s="69" t="s">
        <v>149</v>
      </c>
      <c r="M21" s="70" t="s">
        <v>124</v>
      </c>
      <c r="N21" s="70" t="s">
        <v>144</v>
      </c>
      <c r="O21" s="71" t="s">
        <v>145</v>
      </c>
      <c r="P21" s="72" t="s">
        <v>146</v>
      </c>
    </row>
    <row r="22" spans="1:16" ht="12.75" customHeight="1" thickBot="1" x14ac:dyDescent="0.25">
      <c r="A22" s="26" t="str">
        <f t="shared" si="0"/>
        <v>BAVM 231 </v>
      </c>
      <c r="B22" s="6" t="str">
        <f t="shared" si="1"/>
        <v>II</v>
      </c>
      <c r="C22" s="26">
        <f t="shared" si="2"/>
        <v>56188.553200000002</v>
      </c>
      <c r="D22" s="13" t="str">
        <f t="shared" si="3"/>
        <v>vis</v>
      </c>
      <c r="E22" s="68">
        <f>VLOOKUP(C22,Active!C$21:E$973,3,FALSE)</f>
        <v>5842.5290520523749</v>
      </c>
      <c r="F22" s="6" t="s">
        <v>74</v>
      </c>
      <c r="G22" s="13" t="str">
        <f t="shared" si="4"/>
        <v>56188.5532</v>
      </c>
      <c r="H22" s="26">
        <f t="shared" si="5"/>
        <v>10979.5</v>
      </c>
      <c r="I22" s="69" t="s">
        <v>150</v>
      </c>
      <c r="J22" s="70" t="s">
        <v>151</v>
      </c>
      <c r="K22" s="69">
        <v>10979.5</v>
      </c>
      <c r="L22" s="69" t="s">
        <v>152</v>
      </c>
      <c r="M22" s="70" t="s">
        <v>124</v>
      </c>
      <c r="N22" s="70" t="s">
        <v>144</v>
      </c>
      <c r="O22" s="71" t="s">
        <v>145</v>
      </c>
      <c r="P22" s="72" t="s">
        <v>146</v>
      </c>
    </row>
    <row r="23" spans="1:16" ht="12.75" customHeight="1" thickBot="1" x14ac:dyDescent="0.25">
      <c r="A23" s="26" t="str">
        <f t="shared" si="0"/>
        <v>BAVM 234 </v>
      </c>
      <c r="B23" s="6" t="str">
        <f t="shared" si="1"/>
        <v>II</v>
      </c>
      <c r="C23" s="26">
        <f t="shared" si="2"/>
        <v>56563.468500000003</v>
      </c>
      <c r="D23" s="13" t="str">
        <f t="shared" si="3"/>
        <v>vis</v>
      </c>
      <c r="E23" s="68">
        <f>VLOOKUP(C23,Active!C$21:E$973,3,FALSE)</f>
        <v>6958.5220695473827</v>
      </c>
      <c r="F23" s="6" t="s">
        <v>74</v>
      </c>
      <c r="G23" s="13" t="str">
        <f t="shared" si="4"/>
        <v>56563.4685</v>
      </c>
      <c r="H23" s="26">
        <f t="shared" si="5"/>
        <v>12095.5</v>
      </c>
      <c r="I23" s="69" t="s">
        <v>153</v>
      </c>
      <c r="J23" s="70" t="s">
        <v>154</v>
      </c>
      <c r="K23" s="69">
        <v>12095.5</v>
      </c>
      <c r="L23" s="69" t="s">
        <v>100</v>
      </c>
      <c r="M23" s="70" t="s">
        <v>124</v>
      </c>
      <c r="N23" s="70" t="s">
        <v>144</v>
      </c>
      <c r="O23" s="71" t="s">
        <v>155</v>
      </c>
      <c r="P23" s="72" t="s">
        <v>156</v>
      </c>
    </row>
    <row r="24" spans="1:16" ht="12.75" customHeight="1" thickBot="1" x14ac:dyDescent="0.25">
      <c r="A24" s="26" t="str">
        <f t="shared" si="0"/>
        <v>BAVM 239 </v>
      </c>
      <c r="B24" s="6" t="str">
        <f t="shared" si="1"/>
        <v>II</v>
      </c>
      <c r="C24" s="26">
        <f t="shared" si="2"/>
        <v>56933.346899999997</v>
      </c>
      <c r="D24" s="13" t="str">
        <f t="shared" si="3"/>
        <v>vis</v>
      </c>
      <c r="E24" s="68">
        <f>VLOOKUP(C24,Active!C$21:E$973,3,FALSE)</f>
        <v>8059.5219799864026</v>
      </c>
      <c r="F24" s="6" t="s">
        <v>74</v>
      </c>
      <c r="G24" s="13" t="str">
        <f t="shared" si="4"/>
        <v>56933.3469</v>
      </c>
      <c r="H24" s="26">
        <f t="shared" si="5"/>
        <v>13196.5</v>
      </c>
      <c r="I24" s="69" t="s">
        <v>157</v>
      </c>
      <c r="J24" s="70" t="s">
        <v>158</v>
      </c>
      <c r="K24" s="69">
        <v>13196.5</v>
      </c>
      <c r="L24" s="69" t="s">
        <v>159</v>
      </c>
      <c r="M24" s="70" t="s">
        <v>124</v>
      </c>
      <c r="N24" s="70" t="s">
        <v>160</v>
      </c>
      <c r="O24" s="71" t="s">
        <v>139</v>
      </c>
      <c r="P24" s="72" t="s">
        <v>161</v>
      </c>
    </row>
    <row r="25" spans="1:16" ht="12.75" customHeight="1" thickBot="1" x14ac:dyDescent="0.25">
      <c r="A25" s="26" t="str">
        <f t="shared" si="0"/>
        <v>BAVM 239 </v>
      </c>
      <c r="B25" s="6" t="str">
        <f t="shared" si="1"/>
        <v>I</v>
      </c>
      <c r="C25" s="26">
        <f t="shared" si="2"/>
        <v>56933.514000000003</v>
      </c>
      <c r="D25" s="13" t="str">
        <f t="shared" si="3"/>
        <v>vis</v>
      </c>
      <c r="E25" s="68">
        <f>VLOOKUP(C25,Active!C$21:E$973,3,FALSE)</f>
        <v>8060.0193788208326</v>
      </c>
      <c r="F25" s="6" t="s">
        <v>74</v>
      </c>
      <c r="G25" s="13" t="str">
        <f t="shared" si="4"/>
        <v>56933.5140</v>
      </c>
      <c r="H25" s="26">
        <f t="shared" si="5"/>
        <v>13197</v>
      </c>
      <c r="I25" s="69" t="s">
        <v>162</v>
      </c>
      <c r="J25" s="70" t="s">
        <v>163</v>
      </c>
      <c r="K25" s="69" t="s">
        <v>164</v>
      </c>
      <c r="L25" s="69" t="s">
        <v>165</v>
      </c>
      <c r="M25" s="70" t="s">
        <v>124</v>
      </c>
      <c r="N25" s="70" t="s">
        <v>160</v>
      </c>
      <c r="O25" s="71" t="s">
        <v>139</v>
      </c>
      <c r="P25" s="72" t="s">
        <v>161</v>
      </c>
    </row>
    <row r="26" spans="1:16" ht="12.75" customHeight="1" thickBot="1" x14ac:dyDescent="0.25">
      <c r="A26" s="26" t="str">
        <f t="shared" si="0"/>
        <v>BAVM 239 </v>
      </c>
      <c r="B26" s="6" t="str">
        <f t="shared" si="1"/>
        <v>II</v>
      </c>
      <c r="C26" s="26">
        <f t="shared" si="2"/>
        <v>56934.354899999998</v>
      </c>
      <c r="D26" s="13" t="str">
        <f t="shared" si="3"/>
        <v>vis</v>
      </c>
      <c r="E26" s="68">
        <f>VLOOKUP(C26,Active!C$21:E$973,3,FALSE)</f>
        <v>8062.5224469228988</v>
      </c>
      <c r="F26" s="6" t="s">
        <v>74</v>
      </c>
      <c r="G26" s="13" t="str">
        <f t="shared" si="4"/>
        <v>56934.3549</v>
      </c>
      <c r="H26" s="26">
        <f t="shared" si="5"/>
        <v>13199.5</v>
      </c>
      <c r="I26" s="69" t="s">
        <v>166</v>
      </c>
      <c r="J26" s="70" t="s">
        <v>167</v>
      </c>
      <c r="K26" s="69" t="s">
        <v>168</v>
      </c>
      <c r="L26" s="69" t="s">
        <v>169</v>
      </c>
      <c r="M26" s="70" t="s">
        <v>124</v>
      </c>
      <c r="N26" s="70" t="s">
        <v>144</v>
      </c>
      <c r="O26" s="71" t="s">
        <v>155</v>
      </c>
      <c r="P26" s="72" t="s">
        <v>161</v>
      </c>
    </row>
    <row r="27" spans="1:16" ht="12.75" customHeight="1" thickBot="1" x14ac:dyDescent="0.25">
      <c r="A27" s="26" t="str">
        <f t="shared" si="0"/>
        <v> BBS 124 </v>
      </c>
      <c r="B27" s="6" t="str">
        <f t="shared" si="1"/>
        <v>II</v>
      </c>
      <c r="C27" s="26">
        <f t="shared" si="2"/>
        <v>51801.400099999999</v>
      </c>
      <c r="D27" s="13" t="str">
        <f t="shared" si="3"/>
        <v>vis</v>
      </c>
      <c r="E27" s="68">
        <f>VLOOKUP(C27,Active!C$21:E$973,3,FALSE)</f>
        <v>-7216.5064855252404</v>
      </c>
      <c r="F27" s="6" t="s">
        <v>74</v>
      </c>
      <c r="G27" s="13" t="str">
        <f t="shared" si="4"/>
        <v>51801.4001</v>
      </c>
      <c r="H27" s="26">
        <f t="shared" si="5"/>
        <v>-2079.5</v>
      </c>
      <c r="I27" s="69" t="s">
        <v>76</v>
      </c>
      <c r="J27" s="70" t="s">
        <v>77</v>
      </c>
      <c r="K27" s="69">
        <v>-2079.5</v>
      </c>
      <c r="L27" s="69" t="s">
        <v>78</v>
      </c>
      <c r="M27" s="70" t="s">
        <v>79</v>
      </c>
      <c r="N27" s="70" t="s">
        <v>80</v>
      </c>
      <c r="O27" s="71" t="s">
        <v>81</v>
      </c>
      <c r="P27" s="71" t="s">
        <v>82</v>
      </c>
    </row>
    <row r="28" spans="1:16" ht="12.75" customHeight="1" thickBot="1" x14ac:dyDescent="0.25">
      <c r="A28" s="26" t="str">
        <f t="shared" si="0"/>
        <v> BBS 124 </v>
      </c>
      <c r="B28" s="6" t="str">
        <f t="shared" si="1"/>
        <v>II</v>
      </c>
      <c r="C28" s="26">
        <f t="shared" si="2"/>
        <v>51805.440900000001</v>
      </c>
      <c r="D28" s="13" t="str">
        <f t="shared" si="3"/>
        <v>vis</v>
      </c>
      <c r="E28" s="68">
        <f>VLOOKUP(C28,Active!C$21:E$973,3,FALSE)</f>
        <v>-7204.4784232266456</v>
      </c>
      <c r="F28" s="6" t="s">
        <v>74</v>
      </c>
      <c r="G28" s="13" t="str">
        <f t="shared" si="4"/>
        <v>51805.4409</v>
      </c>
      <c r="H28" s="26">
        <f t="shared" si="5"/>
        <v>-2067.5</v>
      </c>
      <c r="I28" s="69" t="s">
        <v>83</v>
      </c>
      <c r="J28" s="70" t="s">
        <v>84</v>
      </c>
      <c r="K28" s="69">
        <v>-2067.5</v>
      </c>
      <c r="L28" s="69" t="s">
        <v>85</v>
      </c>
      <c r="M28" s="70" t="s">
        <v>79</v>
      </c>
      <c r="N28" s="70" t="s">
        <v>80</v>
      </c>
      <c r="O28" s="71" t="s">
        <v>81</v>
      </c>
      <c r="P28" s="71" t="s">
        <v>82</v>
      </c>
    </row>
    <row r="29" spans="1:16" ht="12.75" customHeight="1" thickBot="1" x14ac:dyDescent="0.25">
      <c r="A29" s="26" t="str">
        <f t="shared" si="0"/>
        <v> BBS 124 </v>
      </c>
      <c r="B29" s="6" t="str">
        <f t="shared" si="1"/>
        <v>II</v>
      </c>
      <c r="C29" s="26">
        <f t="shared" si="2"/>
        <v>51809.469400000002</v>
      </c>
      <c r="D29" s="13" t="str">
        <f t="shared" si="3"/>
        <v>vis</v>
      </c>
      <c r="E29" s="68">
        <f>VLOOKUP(C29,Active!C$21:E$973,3,FALSE)</f>
        <v>-7192.4869737686504</v>
      </c>
      <c r="F29" s="6" t="s">
        <v>74</v>
      </c>
      <c r="G29" s="13" t="str">
        <f t="shared" si="4"/>
        <v>51809.4694</v>
      </c>
      <c r="H29" s="26">
        <f t="shared" si="5"/>
        <v>-2055.5</v>
      </c>
      <c r="I29" s="69" t="s">
        <v>86</v>
      </c>
      <c r="J29" s="70" t="s">
        <v>87</v>
      </c>
      <c r="K29" s="69">
        <v>-2055.5</v>
      </c>
      <c r="L29" s="69" t="s">
        <v>88</v>
      </c>
      <c r="M29" s="70" t="s">
        <v>79</v>
      </c>
      <c r="N29" s="70" t="s">
        <v>80</v>
      </c>
      <c r="O29" s="71" t="s">
        <v>81</v>
      </c>
      <c r="P29" s="71" t="s">
        <v>82</v>
      </c>
    </row>
    <row r="30" spans="1:16" ht="12.75" customHeight="1" thickBot="1" x14ac:dyDescent="0.25">
      <c r="A30" s="26" t="str">
        <f t="shared" si="0"/>
        <v> BBS 124 </v>
      </c>
      <c r="B30" s="6" t="str">
        <f t="shared" si="1"/>
        <v>I</v>
      </c>
      <c r="C30" s="26">
        <f t="shared" si="2"/>
        <v>51811.310100000002</v>
      </c>
      <c r="D30" s="13" t="str">
        <f t="shared" si="3"/>
        <v>vis</v>
      </c>
      <c r="E30" s="68">
        <f>VLOOKUP(C30,Active!C$21:E$973,3,FALSE)</f>
        <v>-7187.0078472904734</v>
      </c>
      <c r="F30" s="6" t="s">
        <v>74</v>
      </c>
      <c r="G30" s="13" t="str">
        <f t="shared" si="4"/>
        <v>51811.3101</v>
      </c>
      <c r="H30" s="26">
        <f t="shared" si="5"/>
        <v>-2050</v>
      </c>
      <c r="I30" s="69" t="s">
        <v>89</v>
      </c>
      <c r="J30" s="70" t="s">
        <v>90</v>
      </c>
      <c r="K30" s="69">
        <v>-2050</v>
      </c>
      <c r="L30" s="69" t="s">
        <v>91</v>
      </c>
      <c r="M30" s="70" t="s">
        <v>79</v>
      </c>
      <c r="N30" s="70" t="s">
        <v>80</v>
      </c>
      <c r="O30" s="71" t="s">
        <v>81</v>
      </c>
      <c r="P30" s="71" t="s">
        <v>82</v>
      </c>
    </row>
    <row r="31" spans="1:16" ht="12.75" customHeight="1" thickBot="1" x14ac:dyDescent="0.25">
      <c r="A31" s="26" t="str">
        <f t="shared" si="0"/>
        <v> BBS 124 </v>
      </c>
      <c r="B31" s="6" t="str">
        <f t="shared" si="1"/>
        <v>II</v>
      </c>
      <c r="C31" s="26">
        <f t="shared" si="2"/>
        <v>51811.483200000002</v>
      </c>
      <c r="D31" s="13" t="str">
        <f t="shared" si="3"/>
        <v>vis</v>
      </c>
      <c r="E31" s="68">
        <f>VLOOKUP(C31,Active!C$21:E$973,3,FALSE)</f>
        <v>-7186.4925885338198</v>
      </c>
      <c r="F31" s="6" t="s">
        <v>74</v>
      </c>
      <c r="G31" s="13" t="str">
        <f t="shared" si="4"/>
        <v>51811.4832</v>
      </c>
      <c r="H31" s="26">
        <f t="shared" si="5"/>
        <v>-2049.5</v>
      </c>
      <c r="I31" s="69" t="s">
        <v>92</v>
      </c>
      <c r="J31" s="70" t="s">
        <v>93</v>
      </c>
      <c r="K31" s="69">
        <v>-2049.5</v>
      </c>
      <c r="L31" s="69" t="s">
        <v>94</v>
      </c>
      <c r="M31" s="70" t="s">
        <v>79</v>
      </c>
      <c r="N31" s="70" t="s">
        <v>80</v>
      </c>
      <c r="O31" s="71" t="s">
        <v>81</v>
      </c>
      <c r="P31" s="71" t="s">
        <v>82</v>
      </c>
    </row>
    <row r="32" spans="1:16" ht="12.75" customHeight="1" thickBot="1" x14ac:dyDescent="0.25">
      <c r="A32" s="26" t="str">
        <f t="shared" si="0"/>
        <v> BBS 124 </v>
      </c>
      <c r="B32" s="6" t="str">
        <f t="shared" si="1"/>
        <v>I</v>
      </c>
      <c r="C32" s="26">
        <f t="shared" si="2"/>
        <v>51814.333899999998</v>
      </c>
      <c r="D32" s="13" t="str">
        <f t="shared" si="3"/>
        <v>vis</v>
      </c>
      <c r="E32" s="68">
        <f>VLOOKUP(C32,Active!C$21:E$973,3,FALSE)</f>
        <v>-7178.0070418117521</v>
      </c>
      <c r="F32" s="6" t="s">
        <v>74</v>
      </c>
      <c r="G32" s="13" t="str">
        <f t="shared" si="4"/>
        <v>51814.3339</v>
      </c>
      <c r="H32" s="26">
        <f t="shared" si="5"/>
        <v>-2041</v>
      </c>
      <c r="I32" s="69" t="s">
        <v>95</v>
      </c>
      <c r="J32" s="70" t="s">
        <v>96</v>
      </c>
      <c r="K32" s="69">
        <v>-2041</v>
      </c>
      <c r="L32" s="69" t="s">
        <v>97</v>
      </c>
      <c r="M32" s="70" t="s">
        <v>79</v>
      </c>
      <c r="N32" s="70" t="s">
        <v>80</v>
      </c>
      <c r="O32" s="71" t="s">
        <v>81</v>
      </c>
      <c r="P32" s="71" t="s">
        <v>82</v>
      </c>
    </row>
    <row r="33" spans="1:16" ht="12.75" customHeight="1" thickBot="1" x14ac:dyDescent="0.25">
      <c r="A33" s="26" t="str">
        <f t="shared" si="0"/>
        <v> BBS 124 </v>
      </c>
      <c r="B33" s="6" t="str">
        <f t="shared" si="1"/>
        <v>I</v>
      </c>
      <c r="C33" s="26">
        <f t="shared" si="2"/>
        <v>51850.281799999997</v>
      </c>
      <c r="D33" s="13" t="str">
        <f t="shared" si="3"/>
        <v>vis</v>
      </c>
      <c r="E33" s="68">
        <f>VLOOKUP(C33,Active!C$21:E$973,3,FALSE)</f>
        <v>-7071.0025920237395</v>
      </c>
      <c r="F33" s="6" t="s">
        <v>74</v>
      </c>
      <c r="G33" s="13" t="str">
        <f t="shared" si="4"/>
        <v>51850.2818</v>
      </c>
      <c r="H33" s="26">
        <f t="shared" si="5"/>
        <v>-1934</v>
      </c>
      <c r="I33" s="69" t="s">
        <v>98</v>
      </c>
      <c r="J33" s="70" t="s">
        <v>99</v>
      </c>
      <c r="K33" s="69">
        <v>-1934</v>
      </c>
      <c r="L33" s="69" t="s">
        <v>100</v>
      </c>
      <c r="M33" s="70" t="s">
        <v>79</v>
      </c>
      <c r="N33" s="70" t="s">
        <v>80</v>
      </c>
      <c r="O33" s="71" t="s">
        <v>81</v>
      </c>
      <c r="P33" s="71" t="s">
        <v>82</v>
      </c>
    </row>
    <row r="34" spans="1:16" ht="12.75" customHeight="1" thickBot="1" x14ac:dyDescent="0.25">
      <c r="A34" s="26" t="str">
        <f t="shared" si="0"/>
        <v> BBS 126 </v>
      </c>
      <c r="B34" s="6" t="str">
        <f t="shared" si="1"/>
        <v>II</v>
      </c>
      <c r="C34" s="26">
        <f t="shared" si="2"/>
        <v>52112.4856</v>
      </c>
      <c r="D34" s="13" t="str">
        <f t="shared" si="3"/>
        <v>vis</v>
      </c>
      <c r="E34" s="68">
        <f>VLOOKUP(C34,Active!C$21:E$973,3,FALSE)</f>
        <v>-6290.5126788069128</v>
      </c>
      <c r="F34" s="6" t="s">
        <v>74</v>
      </c>
      <c r="G34" s="13" t="str">
        <f t="shared" si="4"/>
        <v>52112.4856</v>
      </c>
      <c r="H34" s="26">
        <f t="shared" si="5"/>
        <v>-1153.5</v>
      </c>
      <c r="I34" s="69" t="s">
        <v>101</v>
      </c>
      <c r="J34" s="70" t="s">
        <v>102</v>
      </c>
      <c r="K34" s="69">
        <v>-1153.5</v>
      </c>
      <c r="L34" s="69" t="s">
        <v>103</v>
      </c>
      <c r="M34" s="70" t="s">
        <v>79</v>
      </c>
      <c r="N34" s="70" t="s">
        <v>80</v>
      </c>
      <c r="O34" s="71" t="s">
        <v>81</v>
      </c>
      <c r="P34" s="71" t="s">
        <v>104</v>
      </c>
    </row>
    <row r="35" spans="1:16" ht="12.75" customHeight="1" thickBot="1" x14ac:dyDescent="0.25">
      <c r="A35" s="26" t="str">
        <f t="shared" si="0"/>
        <v> BBS 128 </v>
      </c>
      <c r="B35" s="6" t="str">
        <f t="shared" si="1"/>
        <v>II</v>
      </c>
      <c r="C35" s="26">
        <f t="shared" si="2"/>
        <v>52443.402000000002</v>
      </c>
      <c r="D35" s="13" t="str">
        <f t="shared" si="3"/>
        <v>vis</v>
      </c>
      <c r="E35" s="68">
        <f>VLOOKUP(C35,Active!C$21:E$973,3,FALSE)</f>
        <v>-5305.4891500936637</v>
      </c>
      <c r="F35" s="6" t="s">
        <v>74</v>
      </c>
      <c r="G35" s="13" t="str">
        <f t="shared" si="4"/>
        <v>52443.402</v>
      </c>
      <c r="H35" s="26">
        <f t="shared" si="5"/>
        <v>-168.5</v>
      </c>
      <c r="I35" s="69" t="s">
        <v>105</v>
      </c>
      <c r="J35" s="70" t="s">
        <v>106</v>
      </c>
      <c r="K35" s="69">
        <v>-168.5</v>
      </c>
      <c r="L35" s="69" t="s">
        <v>107</v>
      </c>
      <c r="M35" s="70" t="s">
        <v>79</v>
      </c>
      <c r="N35" s="70" t="s">
        <v>80</v>
      </c>
      <c r="O35" s="71" t="s">
        <v>81</v>
      </c>
      <c r="P35" s="71" t="s">
        <v>108</v>
      </c>
    </row>
    <row r="36" spans="1:16" x14ac:dyDescent="0.2">
      <c r="B36" s="6"/>
      <c r="E36" s="68"/>
      <c r="F36" s="6"/>
    </row>
    <row r="37" spans="1:16" x14ac:dyDescent="0.2">
      <c r="B37" s="6"/>
      <c r="F37" s="6"/>
    </row>
    <row r="38" spans="1:16" x14ac:dyDescent="0.2">
      <c r="B38" s="6"/>
      <c r="F38" s="6"/>
    </row>
    <row r="39" spans="1:16" x14ac:dyDescent="0.2">
      <c r="B39" s="6"/>
      <c r="F39" s="6"/>
    </row>
    <row r="40" spans="1:16" x14ac:dyDescent="0.2">
      <c r="B40" s="6"/>
      <c r="F40" s="6"/>
    </row>
    <row r="41" spans="1:16" x14ac:dyDescent="0.2">
      <c r="B41" s="6"/>
      <c r="F41" s="6"/>
    </row>
    <row r="42" spans="1:16" x14ac:dyDescent="0.2">
      <c r="B42" s="6"/>
      <c r="F42" s="6"/>
    </row>
    <row r="43" spans="1:16" x14ac:dyDescent="0.2">
      <c r="B43" s="6"/>
      <c r="F43" s="6"/>
    </row>
    <row r="44" spans="1:16" x14ac:dyDescent="0.2">
      <c r="B44" s="6"/>
      <c r="F44" s="6"/>
    </row>
    <row r="45" spans="1:16" x14ac:dyDescent="0.2">
      <c r="B45" s="6"/>
      <c r="F45" s="6"/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</sheetData>
  <phoneticPr fontId="7" type="noConversion"/>
  <hyperlinks>
    <hyperlink ref="P12" r:id="rId1" display="http://www.konkoly.hu/cgi-bin/IBVS?5653" xr:uid="{00000000-0004-0000-0100-000000000000}"/>
    <hyperlink ref="P13" r:id="rId2" display="http://www.konkoly.hu/cgi-bin/IBVS?5713" xr:uid="{00000000-0004-0000-0100-000001000000}"/>
    <hyperlink ref="P16" r:id="rId3" display="http://www.konkoly.hu/cgi-bin/IBVS?5820" xr:uid="{00000000-0004-0000-0100-000002000000}"/>
    <hyperlink ref="P17" r:id="rId4" display="http://www.konkoly.hu/cgi-bin/IBVS?5837" xr:uid="{00000000-0004-0000-0100-000003000000}"/>
    <hyperlink ref="P18" r:id="rId5" display="http://www.bav-astro.de/sfs/BAVM_link.php?BAVMnr=201" xr:uid="{00000000-0004-0000-0100-000004000000}"/>
    <hyperlink ref="P19" r:id="rId6" display="http://www.bav-astro.de/sfs/BAVM_link.php?BAVMnr=201" xr:uid="{00000000-0004-0000-0100-000005000000}"/>
    <hyperlink ref="P20" r:id="rId7" display="http://www.bav-astro.de/sfs/BAVM_link.php?BAVMnr=231" xr:uid="{00000000-0004-0000-0100-000006000000}"/>
    <hyperlink ref="P21" r:id="rId8" display="http://www.bav-astro.de/sfs/BAVM_link.php?BAVMnr=231" xr:uid="{00000000-0004-0000-0100-000007000000}"/>
    <hyperlink ref="P22" r:id="rId9" display="http://www.bav-astro.de/sfs/BAVM_link.php?BAVMnr=231" xr:uid="{00000000-0004-0000-0100-000008000000}"/>
    <hyperlink ref="P23" r:id="rId10" display="http://www.bav-astro.de/sfs/BAVM_link.php?BAVMnr=234" xr:uid="{00000000-0004-0000-0100-000009000000}"/>
    <hyperlink ref="P24" r:id="rId11" display="http://www.bav-astro.de/sfs/BAVM_link.php?BAVMnr=239" xr:uid="{00000000-0004-0000-0100-00000A000000}"/>
    <hyperlink ref="P25" r:id="rId12" display="http://www.bav-astro.de/sfs/BAVM_link.php?BAVMnr=239" xr:uid="{00000000-0004-0000-0100-00000B000000}"/>
    <hyperlink ref="P26" r:id="rId13" display="http://www.bav-astro.de/sfs/BAVM_link.php?BAVMnr=239" xr:uid="{00000000-0004-0000-0100-00000C000000}"/>
    <hyperlink ref="P15" r:id="rId14" display="http://www.bav-astro.de/sfs/BAVM_link.php?BAVMnr=241" xr:uid="{00000000-0004-0000-0100-00000D000000}"/>
  </hyperlinks>
  <pageMargins left="0.75" right="0.75" top="1" bottom="1" header="0.5" footer="0.5"/>
  <pageSetup orientation="portrait" horizontalDpi="300" verticalDpi="300" r:id="rId1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8"/>
  <sheetViews>
    <sheetView workbookViewId="0"/>
  </sheetViews>
  <sheetFormatPr defaultColWidth="10.28515625" defaultRowHeight="12.75" x14ac:dyDescent="0.2"/>
  <cols>
    <col min="1" max="1" width="11.42578125" customWidth="1"/>
    <col min="2" max="2" width="4.710937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  <col min="18" max="18" width="11.5703125" customWidth="1"/>
  </cols>
  <sheetData>
    <row r="1" spans="1:4" ht="20.25" x14ac:dyDescent="0.3">
      <c r="A1" s="1" t="s">
        <v>43</v>
      </c>
    </row>
    <row r="2" spans="1:4" x14ac:dyDescent="0.2">
      <c r="A2" t="s">
        <v>24</v>
      </c>
      <c r="B2" s="21" t="s">
        <v>44</v>
      </c>
      <c r="C2" s="13" t="s">
        <v>40</v>
      </c>
    </row>
    <row r="3" spans="1:4" ht="13.5" thickBot="1" x14ac:dyDescent="0.25">
      <c r="A3" t="s">
        <v>41</v>
      </c>
    </row>
    <row r="4" spans="1:4" x14ac:dyDescent="0.2">
      <c r="A4" s="8" t="s">
        <v>0</v>
      </c>
      <c r="C4" s="11" t="s">
        <v>33</v>
      </c>
      <c r="D4" s="12" t="s">
        <v>33</v>
      </c>
    </row>
    <row r="6" spans="1:4" x14ac:dyDescent="0.2">
      <c r="A6" s="8" t="s">
        <v>1</v>
      </c>
    </row>
    <row r="7" spans="1:4" x14ac:dyDescent="0.2">
      <c r="A7" t="s">
        <v>2</v>
      </c>
      <c r="C7">
        <v>51811.312400000003</v>
      </c>
      <c r="D7" s="19" t="s">
        <v>29</v>
      </c>
    </row>
    <row r="8" spans="1:4" x14ac:dyDescent="0.2">
      <c r="A8" t="s">
        <v>3</v>
      </c>
      <c r="C8">
        <v>0.33595350000000002</v>
      </c>
      <c r="D8" s="20">
        <v>4996</v>
      </c>
    </row>
    <row r="10" spans="1:4" ht="13.5" thickBot="1" x14ac:dyDescent="0.25">
      <c r="C10" s="7" t="s">
        <v>19</v>
      </c>
      <c r="D10" s="7" t="s">
        <v>20</v>
      </c>
    </row>
    <row r="11" spans="1:4" x14ac:dyDescent="0.2">
      <c r="A11" t="s">
        <v>15</v>
      </c>
      <c r="C11">
        <f>INTERCEPT(G23:G995,$F23:$F995)</f>
        <v>3.3627926677408382E-4</v>
      </c>
      <c r="D11" s="6"/>
    </row>
    <row r="12" spans="1:4" x14ac:dyDescent="0.2">
      <c r="A12" t="s">
        <v>16</v>
      </c>
      <c r="C12">
        <f>SLOPE(G23:G995,$F23:$F995)</f>
        <v>-5.7887485917919512E-6</v>
      </c>
      <c r="D12" s="6"/>
    </row>
    <row r="13" spans="1:4" x14ac:dyDescent="0.2">
      <c r="A13" t="s">
        <v>18</v>
      </c>
      <c r="C13" s="6" t="s">
        <v>13</v>
      </c>
      <c r="D13" s="6"/>
    </row>
    <row r="14" spans="1:4" x14ac:dyDescent="0.2">
      <c r="A14" t="s">
        <v>23</v>
      </c>
    </row>
    <row r="15" spans="1:4" x14ac:dyDescent="0.2">
      <c r="A15" s="3" t="s">
        <v>17</v>
      </c>
      <c r="C15" s="24">
        <f>(C7+C11)+(C8+C12)*INT(MAX(F21:F3533))</f>
        <v>54225.768937043147</v>
      </c>
    </row>
    <row r="16" spans="1:4" x14ac:dyDescent="0.2">
      <c r="A16" s="8" t="s">
        <v>4</v>
      </c>
      <c r="C16" s="25">
        <f>+C8+C12</f>
        <v>0.33594771125140821</v>
      </c>
    </row>
    <row r="17" spans="1:254" ht="13.5" thickBot="1" x14ac:dyDescent="0.25"/>
    <row r="18" spans="1:254" x14ac:dyDescent="0.2">
      <c r="A18" s="8" t="s">
        <v>5</v>
      </c>
      <c r="C18" s="4">
        <f>+C15</f>
        <v>54225.768937043147</v>
      </c>
      <c r="D18" s="5">
        <f>+C16</f>
        <v>0.33594771125140821</v>
      </c>
    </row>
    <row r="19" spans="1:254" ht="13.5" thickTop="1" x14ac:dyDescent="0.2">
      <c r="C19">
        <f>COUNT(C21:C2187)</f>
        <v>7</v>
      </c>
    </row>
    <row r="20" spans="1:254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6</v>
      </c>
      <c r="I20" s="10" t="s">
        <v>35</v>
      </c>
      <c r="J20" s="10" t="s">
        <v>46</v>
      </c>
      <c r="K20" s="10" t="s">
        <v>25</v>
      </c>
      <c r="L20" s="10" t="s">
        <v>26</v>
      </c>
      <c r="M20" s="10" t="s">
        <v>27</v>
      </c>
      <c r="N20" s="10" t="s">
        <v>28</v>
      </c>
      <c r="O20" s="10" t="s">
        <v>22</v>
      </c>
      <c r="P20" s="9" t="s">
        <v>21</v>
      </c>
      <c r="Q20" s="7" t="s">
        <v>14</v>
      </c>
    </row>
    <row r="21" spans="1:254" x14ac:dyDescent="0.2">
      <c r="A21" s="14" t="s">
        <v>32</v>
      </c>
      <c r="B21" s="14" t="s">
        <v>42</v>
      </c>
      <c r="C21" s="15">
        <v>51258.835700000003</v>
      </c>
      <c r="D21" s="15">
        <v>5.9999999999999995E-4</v>
      </c>
      <c r="E21" s="14">
        <f t="shared" ref="E21:E26" si="0">+(C21-C$7)/C$8</f>
        <v>-1644.5034803923734</v>
      </c>
      <c r="F21" s="14">
        <f t="shared" ref="F21:F27" si="1">ROUND(2*E21,0)/2</f>
        <v>-1644.5</v>
      </c>
      <c r="G21" s="14">
        <f t="shared" ref="G21:G26" si="2">+C21-(C$7+F21*C$8)</f>
        <v>-1.1692499974742532E-3</v>
      </c>
      <c r="H21" s="14">
        <f>+G21</f>
        <v>-1.1692499974742532E-3</v>
      </c>
      <c r="I21" s="14"/>
      <c r="J21" s="14"/>
      <c r="K21" s="14"/>
      <c r="L21" s="14"/>
      <c r="M21" s="14"/>
      <c r="N21" s="14"/>
      <c r="O21" s="14">
        <f t="shared" ref="O21:O26" si="3">+C$11+C$12*$F21</f>
        <v>9.8558763259759471E-3</v>
      </c>
      <c r="P21" s="14"/>
      <c r="Q21" s="18">
        <f t="shared" ref="Q21:Q26" si="4">+C21-15018.5</f>
        <v>36240.335700000003</v>
      </c>
      <c r="R21" s="14"/>
    </row>
    <row r="22" spans="1:254" x14ac:dyDescent="0.2">
      <c r="A22" s="14" t="s">
        <v>32</v>
      </c>
      <c r="B22" s="14" t="s">
        <v>31</v>
      </c>
      <c r="C22" s="15">
        <v>51308.727099999996</v>
      </c>
      <c r="D22" s="15">
        <v>5.0000000000000001E-4</v>
      </c>
      <c r="E22" s="14">
        <f t="shared" si="0"/>
        <v>-1495.9966185796727</v>
      </c>
      <c r="F22" s="14">
        <f t="shared" si="1"/>
        <v>-1496</v>
      </c>
      <c r="G22" s="14">
        <f t="shared" si="2"/>
        <v>1.1359999916749075E-3</v>
      </c>
      <c r="H22" s="14">
        <f>+G22</f>
        <v>1.1359999916749075E-3</v>
      </c>
      <c r="I22" s="14"/>
      <c r="J22" s="14"/>
      <c r="K22" s="14"/>
      <c r="L22" s="14"/>
      <c r="M22" s="14"/>
      <c r="N22" s="14"/>
      <c r="O22" s="14">
        <f t="shared" si="3"/>
        <v>8.9962471600948425E-3</v>
      </c>
      <c r="P22" s="14"/>
      <c r="Q22" s="18">
        <f t="shared" si="4"/>
        <v>36290.227099999996</v>
      </c>
      <c r="R22" s="14"/>
    </row>
    <row r="23" spans="1:254" x14ac:dyDescent="0.2">
      <c r="A23" s="14" t="s">
        <v>32</v>
      </c>
      <c r="B23" s="14" t="s">
        <v>31</v>
      </c>
      <c r="C23" s="15">
        <v>51811.312400000003</v>
      </c>
      <c r="D23" s="15">
        <v>8.9999999999999998E-4</v>
      </c>
      <c r="E23" s="14">
        <f t="shared" si="0"/>
        <v>0</v>
      </c>
      <c r="F23" s="14">
        <f t="shared" si="1"/>
        <v>0</v>
      </c>
      <c r="G23" s="14">
        <f t="shared" si="2"/>
        <v>0</v>
      </c>
      <c r="H23" s="14">
        <f>+G23</f>
        <v>0</v>
      </c>
      <c r="I23" s="14"/>
      <c r="J23" s="14"/>
      <c r="K23" s="14"/>
      <c r="L23" s="14"/>
      <c r="M23" s="14"/>
      <c r="N23" s="14"/>
      <c r="O23" s="14">
        <f t="shared" si="3"/>
        <v>3.3627926677408382E-4</v>
      </c>
      <c r="P23" s="14"/>
      <c r="Q23" s="18">
        <f t="shared" si="4"/>
        <v>36792.812400000003</v>
      </c>
      <c r="R23" s="14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pans="1:254" x14ac:dyDescent="0.2">
      <c r="A24" s="17" t="s">
        <v>30</v>
      </c>
      <c r="B24" s="14" t="s">
        <v>31</v>
      </c>
      <c r="C24" s="15">
        <v>52820.499799999998</v>
      </c>
      <c r="D24" s="15">
        <v>6.9999999999999999E-4</v>
      </c>
      <c r="E24" s="14">
        <f t="shared" si="0"/>
        <v>3003.9496537467094</v>
      </c>
      <c r="F24" s="14">
        <f t="shared" si="1"/>
        <v>3004</v>
      </c>
      <c r="G24" s="14">
        <f t="shared" si="2"/>
        <v>-1.691400000709109E-2</v>
      </c>
      <c r="H24" s="14"/>
      <c r="I24" s="14">
        <f>+G24</f>
        <v>-1.691400000709109E-2</v>
      </c>
      <c r="J24" s="14"/>
      <c r="K24" s="14"/>
      <c r="L24" s="14"/>
      <c r="M24" s="14"/>
      <c r="N24" s="14"/>
      <c r="O24" s="14">
        <f t="shared" si="3"/>
        <v>-1.7053121502968938E-2</v>
      </c>
      <c r="P24" s="14"/>
      <c r="Q24" s="18">
        <f t="shared" si="4"/>
        <v>37801.999799999998</v>
      </c>
      <c r="R24" s="14" t="s">
        <v>38</v>
      </c>
    </row>
    <row r="25" spans="1:254" x14ac:dyDescent="0.2">
      <c r="A25" s="17" t="s">
        <v>34</v>
      </c>
      <c r="B25" s="14" t="s">
        <v>31</v>
      </c>
      <c r="C25" s="15">
        <v>53233.3799</v>
      </c>
      <c r="D25" s="15">
        <v>8.9999999999999998E-4</v>
      </c>
      <c r="E25" s="14">
        <f t="shared" si="0"/>
        <v>4232.9295572154997</v>
      </c>
      <c r="F25" s="14">
        <f t="shared" si="1"/>
        <v>4233</v>
      </c>
      <c r="G25" s="14">
        <f t="shared" si="2"/>
        <v>-2.3665500004426576E-2</v>
      </c>
      <c r="H25" s="14"/>
      <c r="I25" s="14">
        <f>+G25</f>
        <v>-2.3665500004426576E-2</v>
      </c>
      <c r="J25" s="14"/>
      <c r="K25" s="14"/>
      <c r="L25" s="14"/>
      <c r="M25" s="14"/>
      <c r="N25" s="14"/>
      <c r="O25" s="14">
        <f t="shared" si="3"/>
        <v>-2.4167493522281244E-2</v>
      </c>
      <c r="P25" s="14"/>
      <c r="Q25" s="18">
        <f t="shared" si="4"/>
        <v>38214.8799</v>
      </c>
      <c r="R25" s="14" t="s">
        <v>36</v>
      </c>
    </row>
    <row r="26" spans="1:254" x14ac:dyDescent="0.2">
      <c r="A26" s="17" t="s">
        <v>39</v>
      </c>
      <c r="B26" s="14" t="s">
        <v>31</v>
      </c>
      <c r="C26" s="15">
        <v>53652.306400000001</v>
      </c>
      <c r="D26" s="15">
        <v>1.9E-3</v>
      </c>
      <c r="E26" s="14">
        <f t="shared" si="0"/>
        <v>5479.9071895366433</v>
      </c>
      <c r="F26" s="14">
        <f t="shared" si="1"/>
        <v>5480</v>
      </c>
      <c r="G26" s="14">
        <f t="shared" si="2"/>
        <v>-3.117999999813037E-2</v>
      </c>
      <c r="H26" s="14"/>
      <c r="I26" s="14">
        <f>+G26</f>
        <v>-3.117999999813037E-2</v>
      </c>
      <c r="J26" s="14"/>
      <c r="K26" s="14"/>
      <c r="L26" s="14"/>
      <c r="M26" s="14"/>
      <c r="N26" s="14"/>
      <c r="O26" s="14">
        <f t="shared" si="3"/>
        <v>-3.1386063016245809E-2</v>
      </c>
      <c r="P26" s="14"/>
      <c r="Q26" s="18">
        <f t="shared" si="4"/>
        <v>38633.806400000001</v>
      </c>
      <c r="R26" s="14" t="s">
        <v>37</v>
      </c>
    </row>
    <row r="27" spans="1:254" x14ac:dyDescent="0.2">
      <c r="A27" s="27" t="s">
        <v>45</v>
      </c>
      <c r="B27" s="23"/>
      <c r="C27" s="22">
        <v>54225.936399999999</v>
      </c>
      <c r="D27" s="22">
        <v>2.9999999999999997E-4</v>
      </c>
      <c r="E27" s="14">
        <f>+(C27-C$7)/C$8</f>
        <v>7187.3756338302655</v>
      </c>
      <c r="F27" s="14">
        <f t="shared" si="1"/>
        <v>7187.5</v>
      </c>
      <c r="G27" s="14">
        <f>+C27-(C$7+F27*C$8)</f>
        <v>-4.1781250001804437E-2</v>
      </c>
      <c r="H27" s="14"/>
      <c r="J27" s="14">
        <f>+G27</f>
        <v>-4.1781250001804437E-2</v>
      </c>
      <c r="O27" s="14">
        <f>+C$11+C$12*$F27</f>
        <v>-4.1270351236730562E-2</v>
      </c>
      <c r="P27" s="14"/>
      <c r="Q27" s="18">
        <f>+C27-15018.5</f>
        <v>39207.436399999999</v>
      </c>
    </row>
    <row r="28" spans="1:254" x14ac:dyDescent="0.2">
      <c r="C28" s="26"/>
      <c r="D28" s="26"/>
      <c r="Q28" s="2"/>
    </row>
    <row r="29" spans="1:254" x14ac:dyDescent="0.2">
      <c r="D29" s="6"/>
      <c r="Q29" s="2"/>
    </row>
    <row r="30" spans="1:254" x14ac:dyDescent="0.2">
      <c r="D30" s="6"/>
    </row>
    <row r="31" spans="1:254" x14ac:dyDescent="0.2">
      <c r="D31" s="6"/>
    </row>
    <row r="32" spans="1:254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2024-02-06T03:22:18Z</dcterms:modified>
</cp:coreProperties>
</file>