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83D4A6-26DE-4A30-8959-1790E6D1A9B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F16" i="1"/>
  <c r="E22" i="1"/>
  <c r="F22" i="1"/>
  <c r="G22" i="1"/>
  <c r="I22" i="1"/>
  <c r="Q22" i="1"/>
  <c r="D9" i="1"/>
  <c r="C9" i="1"/>
  <c r="E21" i="1"/>
  <c r="F21" i="1"/>
  <c r="G21" i="1"/>
  <c r="I21" i="1"/>
  <c r="C17" i="1"/>
  <c r="Q21" i="1"/>
  <c r="C12" i="1"/>
  <c r="C11" i="1"/>
  <c r="O23" i="1" l="1"/>
  <c r="C15" i="1"/>
  <c r="F18" i="1" s="1"/>
  <c r="O22" i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<sst xmlns="http://schemas.openxmlformats.org/spreadsheetml/2006/main" count="55" uniqueCount="46">
  <si>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</si>
  <si>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</si>
  <si>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</si>
  <si>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</si>
  <si>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</si>
  <si>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</si>
  <si>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</si>
  <si>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</si>
  <si>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</si>
  <si>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</si>
  <si>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</si>
  <si>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</si>
  <si>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</si>
  <si>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</si>
  <si>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</si>
  <si>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</si>
  <si>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</si>
  <si>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</si>
  <si>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</si>
  <si>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</si>
  <si>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</si>
  <si>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</si>
  <si>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</si>
  <si>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</si>
  <si>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</si>
  <si>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</si>
  <si>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</si>
  <si>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</si>
  <si>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</si>
  <si>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</si>
  <si>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</si>
  <si>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</si>
  <si>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V2311 Cyg / NSV 25050</t>
  </si>
  <si>
    <t>EA</t>
  </si>
  <si>
    <t>OEJV 0107</t>
  </si>
  <si>
    <t>I</t>
  </si>
  <si>
    <t>JAVSO..43..238</t>
  </si>
  <si>
    <t>Add cycle</t>
  </si>
  <si>
    <t>Old Cycle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</si>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</sst>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5" fillId="0" borderId="0" xfId="0" applyFont="1" applyFill="1">
      <alignment vertical="top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V2311 Cyg --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C-4CF7-90C0-024DD879CF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4.2770000000018626E-2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C-4CF7-90C0-024DD879CF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C-4CF7-90C0-024DD879CF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6.9600000002537854E-2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C-4CF7-90C0-024DD879CF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C-4CF7-90C0-024DD879CF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C-4CF7-90C0-024DD879CF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C-4CF7-90C0-024DD879CF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2060</c:v>
                </c:pt>
                <c:pt idx="2">
                  <c:v>4112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2.6289705505245023E-3</c:v>
                </c:pt>
                <c:pt idx="1">
                  <c:v>3.7501809501111816E-2</c:v>
                </c:pt>
                <c:pt idx="2">
                  <c:v>7.2239219950920142E-2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C-4CF7-90C0-024DD879C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034992"/>
        <c:axId val="1"/>
      </c:scatterChart>
      <c:valAx>
        <c:axId val="76503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3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39097744360902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9E08CB-1D49-993F-43D4-AAAE5E215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32</v>
      </c>
      <c r="E1" s="30"/>
      <c r="F1" s="30"/>
      <c r="G1" s="31" t="s">
        <v>33</v>
      </c>
      <c r="H1" s="32" t="s">
        <v>34</v>
      </c>
      <c r="I1" s="28" t="s">
        <v>30</v>
      </c>
      <c r="J1" s="28" t="s">
        <v>30</v>
      </c>
      <c r="K1" s="33">
        <v>51432.430999999997</v>
      </c>
      <c r="L1" s="33">
        <v>1.4107000000000001</v>
      </c>
    </row>
    <row r="2" spans="1:12" x14ac:dyDescent="0.2">
      <c r="A2" t="s">
        <v>22</v>
      </c>
      <c r="B2" t="s">
        <v>33</v>
      </c>
      <c r="C2" s="9"/>
    </row>
    <row r="3" spans="1:12" ht="13.5" thickBot="1" x14ac:dyDescent="0.25"/>
    <row r="4" spans="1:12" ht="14.25" thickTop="1" thickBot="1" x14ac:dyDescent="0.25">
      <c r="A4" s="27" t="s">
        <v>31</v>
      </c>
      <c r="C4" s="7" t="s">
        <v>30</v>
      </c>
      <c r="D4" s="8" t="s">
        <v>30</v>
      </c>
    </row>
    <row r="5" spans="1:12" ht="13.5" thickTop="1" x14ac:dyDescent="0.2">
      <c r="A5" s="10" t="s">
        <v>24</v>
      </c>
      <c r="B5" s="11"/>
      <c r="C5" s="12">
        <v>-9.5</v>
      </c>
      <c r="D5" s="11" t="s">
        <v>25</v>
      </c>
    </row>
    <row r="6" spans="1:12" x14ac:dyDescent="0.2">
      <c r="A6" s="4" t="s">
        <v>0</v>
      </c>
    </row>
    <row r="7" spans="1:12" x14ac:dyDescent="0.2">
      <c r="A7" t="s">
        <v>1</v>
      </c>
      <c r="C7">
        <v>51432.430999999997</v>
      </c>
    </row>
    <row r="8" spans="1:12" x14ac:dyDescent="0.2">
      <c r="A8" t="s">
        <v>2</v>
      </c>
      <c r="C8">
        <v>1.4107000000000001</v>
      </c>
      <c r="D8" s="29" t="s">
        <v>34</v>
      </c>
    </row>
    <row r="9" spans="1:12" x14ac:dyDescent="0.2">
      <c r="A9" s="25" t="s">
        <v>29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2">
        <f ca="1">INTERCEPT(INDIRECT($D$9):G992,INDIRECT($C$9):F992)</f>
        <v>2.6289705505245023E-3</v>
      </c>
      <c r="D11" s="13"/>
      <c r="E11" s="11"/>
    </row>
    <row r="12" spans="1:12" x14ac:dyDescent="0.2">
      <c r="A12" s="11" t="s">
        <v>15</v>
      </c>
      <c r="B12" s="11"/>
      <c r="C12" s="22">
        <f ca="1">SLOPE(INDIRECT($D$9):G992,INDIRECT($C$9):F992)</f>
        <v>1.6928562597372482E-5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57233.30163921995</v>
      </c>
      <c r="E15" s="16" t="s">
        <v>37</v>
      </c>
      <c r="F15" s="12">
        <v>1</v>
      </c>
    </row>
    <row r="16" spans="1:12" x14ac:dyDescent="0.2">
      <c r="A16" s="17" t="s">
        <v>3</v>
      </c>
      <c r="B16" s="11"/>
      <c r="C16" s="18">
        <f ca="1">+C8+C12</f>
        <v>1.4107169285625973</v>
      </c>
      <c r="E16" s="16" t="s">
        <v>26</v>
      </c>
      <c r="F16" s="22">
        <f ca="1">NOW()+15018.5+$C$5/24</f>
        <v>60346.685278819445</v>
      </c>
    </row>
    <row r="17" spans="1:17" ht="13.5" thickBot="1" x14ac:dyDescent="0.25">
      <c r="A17" s="16" t="s">
        <v>23</v>
      </c>
      <c r="B17" s="11"/>
      <c r="C17" s="11">
        <f>COUNT(C21:C2191)</f>
        <v>3</v>
      </c>
      <c r="E17" s="16" t="s">
        <v>38</v>
      </c>
      <c r="F17" s="22">
        <f ca="1">ROUND(2*(F16-$C$7)/$C$8,0)/2+F15</f>
        <v>6320</v>
      </c>
    </row>
    <row r="18" spans="1:17" ht="14.25" thickTop="1" thickBot="1" x14ac:dyDescent="0.25">
      <c r="A18" s="17" t="s">
        <v>4</v>
      </c>
      <c r="B18" s="11"/>
      <c r="C18" s="20">
        <f ca="1">+C15</f>
        <v>57233.30163921995</v>
      </c>
      <c r="D18" s="21">
        <f ca="1">+C16</f>
        <v>1.4107169285625973</v>
      </c>
      <c r="E18" s="16" t="s">
        <v>27</v>
      </c>
      <c r="F18" s="24">
        <f ca="1">ROUND(2*(F16-$C$15)/$C$16,0)/2+F15</f>
        <v>2208</v>
      </c>
    </row>
    <row r="19" spans="1:17" ht="13.5" thickTop="1" x14ac:dyDescent="0.2">
      <c r="E19" s="16" t="s">
        <v>28</v>
      </c>
      <c r="F19" s="19">
        <f ca="1">+$C$15+$C$16*F18-15018.5-$C$5/24</f>
        <v>45330.060450819503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43</v>
      </c>
      <c r="M20" s="6" t="s">
        <v>44</v>
      </c>
      <c r="N20" s="6" t="s">
        <v>45</v>
      </c>
      <c r="O20" s="6" t="s">
        <v>21</v>
      </c>
      <c r="P20" s="5" t="s">
        <v>20</v>
      </c>
      <c r="Q20" s="3" t="s">
        <v>13</v>
      </c>
    </row>
    <row r="21" spans="1:17" x14ac:dyDescent="0.2">
      <c r="A21" s="29" t="s">
        <v>34</v>
      </c>
      <c r="C21" s="9">
        <v>51432.430999999997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2.6289705505245023E-3</v>
      </c>
      <c r="Q21" s="2">
        <f>+C21-15018.5</f>
        <v>36413.930999999997</v>
      </c>
    </row>
    <row r="22" spans="1:17" x14ac:dyDescent="0.2">
      <c r="A22" s="34" t="s">
        <v>34</v>
      </c>
      <c r="B22" s="35" t="s">
        <v>35</v>
      </c>
      <c r="C22" s="36">
        <v>54338.515769999998</v>
      </c>
      <c r="D22" s="36">
        <v>4.0000000000000002E-4</v>
      </c>
      <c r="E22">
        <f>+(C22-C$7)/C$8</f>
        <v>2060.0303182817051</v>
      </c>
      <c r="F22">
        <f>ROUND(2*E22,0)/2</f>
        <v>2060</v>
      </c>
      <c r="G22">
        <f>+C22-(C$7+F22*C$8)</f>
        <v>4.2770000000018626E-2</v>
      </c>
      <c r="I22">
        <f>+G22</f>
        <v>4.2770000000018626E-2</v>
      </c>
      <c r="O22">
        <f ca="1">+C$11+C$12*$F22</f>
        <v>3.7501809501111816E-2</v>
      </c>
      <c r="Q22" s="2">
        <f>+C22-15018.5</f>
        <v>39320.015769999998</v>
      </c>
    </row>
    <row r="23" spans="1:17" x14ac:dyDescent="0.2">
      <c r="A23" s="37" t="s">
        <v>36</v>
      </c>
      <c r="B23" s="38" t="s">
        <v>35</v>
      </c>
      <c r="C23" s="39">
        <v>57233.298999999999</v>
      </c>
      <c r="D23" s="39">
        <v>1E-4</v>
      </c>
      <c r="E23">
        <f>+(C23-C$7)/C$8</f>
        <v>4112.0493372084793</v>
      </c>
      <c r="F23">
        <f>ROUND(2*E23,0)/2</f>
        <v>4112</v>
      </c>
      <c r="G23">
        <f>+C23-(C$7+F23*C$8)</f>
        <v>6.9600000002537854E-2</v>
      </c>
      <c r="K23">
        <f>+G23</f>
        <v>6.9600000002537854E-2</v>
      </c>
      <c r="O23">
        <f ca="1">+C$11+C$12*$F23</f>
        <v>7.2239219950920142E-2</v>
      </c>
      <c r="Q23" s="2">
        <f>+C23-15018.5</f>
        <v>42214.798999999999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2024-02-06T03:26:48Z</dcterms:modified>
</cp:coreProperties>
</file>