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255D523-2EBF-42FD-B1E2-8DC7DC3D18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K23" i="1" s="1"/>
  <c r="Q23" i="1"/>
  <c r="F14" i="1"/>
  <c r="E22" i="1"/>
  <c r="F22" i="1" s="1"/>
  <c r="G22" i="1" s="1"/>
  <c r="K22" i="1" s="1"/>
  <c r="Q22" i="1"/>
  <c r="G11" i="1"/>
  <c r="F11" i="1"/>
  <c r="C21" i="1"/>
  <c r="A21" i="1"/>
  <c r="F15" i="1" l="1"/>
  <c r="E21" i="1"/>
  <c r="F21" i="1" s="1"/>
  <c r="G21" i="1" s="1"/>
  <c r="C17" i="1"/>
  <c r="Q21" i="1"/>
  <c r="C11" i="1"/>
  <c r="C12" i="1"/>
  <c r="O23" i="1" l="1"/>
  <c r="O22" i="1"/>
  <c r="C16" i="1"/>
  <c r="D18" i="1" s="1"/>
  <c r="C15" i="1"/>
  <c r="O21" i="1"/>
  <c r="K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<sst xmlns="http://schemas.openxmlformats.org/spreadsheetml/2006/main" count="58" uniqueCount="54">
  <si>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</si>
  <si>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</si>
  <si>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</si>
  <si>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</si>
  <si>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</si>
  <si>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</si>
  <si>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</si>
  <si>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</si>
  <si>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</si>
  <si>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</si>
  <si>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</si>
  <si>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</si>
  <si>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</si>
  <si>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</si>
  <si>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</si>
  <si>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</si>
  <si>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</si>
  <si>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</si>
  <si>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</si>
  <si>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</si>
  <si>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</si>
  <si>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</si>
  <si>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</si>
  <si>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</si>
  <si>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</si>
  <si>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</si>
  <si>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</si>
  <si>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</si>
  <si>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</si>
  <si>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</si>
  <si>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</si>
  <si>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</si>
  <si>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</si>
  <si>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</si>
  <si>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</si>
  <si>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</si>
  <si>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</si>
  <si>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</si>
  <si>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</si>
  <si>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</si>
  <si>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</si>
  <si>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</si>
  <si>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</si>
  <si>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</si>
  <si>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WISE J205233.7+345445 Cyg</t>
  </si>
  <si>
    <t>EW</t>
  </si>
  <si>
    <t>VSX</t>
  </si>
  <si>
    <t>JBAV, 76</t>
  </si>
  <si>
    <t>I</t>
  </si>
  <si>
    <t>Next ToM-P</t>
  </si>
  <si>
    <t>Next ToM-S</t>
  </si>
  <si>
    <t>15.093 (.288)</t>
  </si>
  <si>
    <t xml:space="preserve">Mag g </t>
  </si>
  <si>
    <t>BAV 91 Feb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</si>
</sst>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#,##0.0000_ ;\-#,##0.0000\ 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5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0" fontId="0" fillId="0" borderId="0" xfId="0" applyAlignment="1">
      <alignment horizontal="right"/>
    </xf>
    <xf numFmtId="0" fontId="20" fillId="0" borderId="8" xfId="0" applyFont="1" applyBorder="1" applyAlignment="1">
      <alignment horizontal="right" vertical="center"/>
    </xf>
    <xf numFmtId="0" fontId="20" fillId="0" borderId="11" xfId="0" applyFont="1" applyBorder="1" applyAlignment="1">
      <alignment horizontal="right" vertical="center"/>
    </xf>
    <xf numFmtId="0" fontId="6" fillId="5" borderId="6" xfId="0" applyFont="1" applyFill="1" applyBorder="1" applyAlignment="1">
      <alignment horizontal="right" vertical="center"/>
    </xf>
    <xf numFmtId="0" fontId="6" fillId="5" borderId="7" xfId="0" applyFont="1" applyFill="1" applyBorder="1" applyAlignment="1">
      <alignment horizontal="center" vertical="center"/>
    </xf>
    <xf numFmtId="0" fontId="21" fillId="0" borderId="9" xfId="0" applyFont="1" applyBorder="1" applyAlignment="1">
      <alignment horizontal="right" vertical="center"/>
    </xf>
    <xf numFmtId="0" fontId="22" fillId="0" borderId="9" xfId="0" applyFont="1" applyBorder="1" applyAlignment="1">
      <alignment horizontal="right" vertical="center"/>
    </xf>
    <xf numFmtId="22" fontId="22" fillId="0" borderId="10" xfId="0" applyNumberFormat="1" applyFont="1" applyBorder="1" applyAlignment="1">
      <alignment horizontal="right" vertical="center"/>
    </xf>
    <xf numFmtId="22" fontId="22" fillId="0" borderId="9" xfId="0" applyNumberFormat="1" applyFont="1" applyBorder="1" applyAlignment="1">
      <alignment horizontal="right" vertic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166" fontId="19" fillId="0" borderId="0" xfId="0" applyNumberFormat="1" applyFont="1" applyAlignment="1" applyProtection="1">
      <alignment horizontal="left" vertical="center" wrapText="1"/>
      <protection locked="0"/>
    </xf>
    <xf numFmtId="16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167" fontId="19" fillId="0" borderId="0" xfId="8" applyNumberFormat="1" applyFont="1" applyBorder="1" applyAlignment="1">
      <alignment horizontal="left" vertical="center" wrapText="1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WISE J205233.7+345445 Cyg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1953</c:v>
                </c:pt>
                <c:pt idx="2">
                  <c:v>2555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1953</c:v>
                </c:pt>
                <c:pt idx="2">
                  <c:v>2555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1953</c:v>
                </c:pt>
                <c:pt idx="2">
                  <c:v>2555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1953</c:v>
                </c:pt>
                <c:pt idx="2">
                  <c:v>2555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8.2499999989522621E-3</c:v>
                </c:pt>
                <c:pt idx="2">
                  <c:v>1.4549999999871943E-2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1953</c:v>
                </c:pt>
                <c:pt idx="2">
                  <c:v>2555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1953</c:v>
                </c:pt>
                <c:pt idx="2">
                  <c:v>2555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1953</c:v>
                </c:pt>
                <c:pt idx="2">
                  <c:v>2555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1953</c:v>
                </c:pt>
                <c:pt idx="2">
                  <c:v>2555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-4.1263560724435263E-4</c:v>
                </c:pt>
                <c:pt idx="1">
                  <c:v>1.0001302285512596E-2</c:v>
                </c:pt>
                <c:pt idx="2">
                  <c:v>1.3211333320555959E-2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1953</c:v>
                </c:pt>
                <c:pt idx="2">
                  <c:v>2555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0</xdr:rowOff>
    </xdr:from>
    <xdr:to>
      <xdr:col>17</xdr:col>
      <xdr:colOff>190500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C18" sqref="C18:D18"/>
    </sheetView>
  </sheetViews>
  <sheetFormatPr defaultColWidth="10.28515625" defaultRowHeight="12.75" x14ac:dyDescent="0.2"/>
  <cols>
    <col min="1" max="1" width="18.7109375" customWidth="1"/>
    <col min="2" max="2" width="4.85546875" customWidth="1"/>
    <col min="3" max="3" width="13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2" t="s">
        <v>44</v>
      </c>
      <c r="F1" s="27" t="s">
        <v>43</v>
      </c>
      <c r="G1" s="23"/>
      <c r="H1" s="21"/>
      <c r="I1" s="28"/>
      <c r="J1" s="29" t="s">
        <v>41</v>
      </c>
      <c r="K1" s="22"/>
      <c r="L1" s="24"/>
      <c r="M1" s="25"/>
      <c r="N1" s="25"/>
      <c r="O1" s="26"/>
    </row>
    <row r="2" spans="1:15" x14ac:dyDescent="0.2">
      <c r="A2" t="s">
        <v>23</v>
      </c>
      <c r="B2" s="36" t="s">
        <v>45</v>
      </c>
      <c r="C2" s="30"/>
      <c r="D2" s="2"/>
    </row>
    <row r="4" spans="1:15" x14ac:dyDescent="0.2">
      <c r="A4" s="33" t="s">
        <v>0</v>
      </c>
      <c r="C4" s="2" t="s">
        <v>36</v>
      </c>
      <c r="D4" s="2" t="s">
        <v>36</v>
      </c>
    </row>
    <row r="5" spans="1:15" x14ac:dyDescent="0.2">
      <c r="A5" s="34" t="s">
        <v>28</v>
      </c>
      <c r="B5" s="7"/>
      <c r="C5" s="31">
        <v>-9.5</v>
      </c>
      <c r="D5" s="7" t="s">
        <v>29</v>
      </c>
      <c r="E5" s="7"/>
    </row>
    <row r="6" spans="1:15" x14ac:dyDescent="0.2">
      <c r="A6" s="33" t="s">
        <v>1</v>
      </c>
    </row>
    <row r="7" spans="1:15" x14ac:dyDescent="0.2">
      <c r="A7" t="s">
        <v>2</v>
      </c>
      <c r="C7" s="39">
        <v>58343.8459</v>
      </c>
      <c r="D7" s="35" t="s">
        <v>46</v>
      </c>
    </row>
    <row r="8" spans="1:15" x14ac:dyDescent="0.2">
      <c r="A8" t="s">
        <v>3</v>
      </c>
      <c r="C8" s="39">
        <v>0.71414999999999995</v>
      </c>
      <c r="D8" s="35" t="s">
        <v>46</v>
      </c>
    </row>
    <row r="9" spans="1:15" x14ac:dyDescent="0.2">
      <c r="A9" s="18" t="s">
        <v>31</v>
      </c>
      <c r="B9" s="19">
        <v>21</v>
      </c>
      <c r="C9" s="16"/>
      <c r="D9" s="17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5">
        <f ca="1">INTERCEPT(INDIRECT($G$11):G992,INDIRECT($F$11):F992)</f>
        <v>-4.1263560724435263E-4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5">
        <f ca="1">SLOPE(INDIRECT($G$11):G992,INDIRECT($F$11):F992)</f>
        <v>5.3322774668494368E-6</v>
      </c>
      <c r="D12" s="2"/>
      <c r="E12" s="42" t="s">
        <v>52</v>
      </c>
      <c r="F12" s="43" t="s">
        <v>51</v>
      </c>
    </row>
    <row r="13" spans="1:15" x14ac:dyDescent="0.2">
      <c r="A13" s="7" t="s">
        <v>18</v>
      </c>
      <c r="B13" s="7"/>
      <c r="C13" s="2" t="s">
        <v>13</v>
      </c>
      <c r="E13" s="40" t="s">
        <v>33</v>
      </c>
      <c r="F13" s="44">
        <v>1</v>
      </c>
    </row>
    <row r="14" spans="1:15" x14ac:dyDescent="0.2">
      <c r="A14" s="7"/>
      <c r="B14" s="7"/>
      <c r="C14" s="7"/>
      <c r="E14" s="40" t="s">
        <v>30</v>
      </c>
      <c r="F14" s="45">
        <f ca="1">NOW()+15018.5+$C$5/24</f>
        <v>60544.778761226851</v>
      </c>
    </row>
    <row r="15" spans="1:15" x14ac:dyDescent="0.2">
      <c r="A15" s="8" t="s">
        <v>17</v>
      </c>
      <c r="B15" s="7"/>
      <c r="C15" s="9">
        <f ca="1">(C7+C11)+(C8+C12)*INT(MAX(F21:F3533))</f>
        <v>60168.51236133332</v>
      </c>
      <c r="E15" s="40" t="s">
        <v>34</v>
      </c>
      <c r="F15" s="45">
        <f ca="1">ROUND(2*($F$14-$C$7)/$C$8,0)/2+$F$13</f>
        <v>3083</v>
      </c>
    </row>
    <row r="16" spans="1:15" x14ac:dyDescent="0.2">
      <c r="A16" s="11" t="s">
        <v>4</v>
      </c>
      <c r="B16" s="7"/>
      <c r="C16" s="12">
        <f ca="1">+C8+C12</f>
        <v>0.71415533227746675</v>
      </c>
      <c r="E16" s="40" t="s">
        <v>35</v>
      </c>
      <c r="F16" s="45">
        <f ca="1">ROUND(2*($F$14-$C$15)/$C$16,0)/2+$F$13</f>
        <v>528</v>
      </c>
    </row>
    <row r="17" spans="1:21" ht="13.5" thickBot="1" x14ac:dyDescent="0.25">
      <c r="A17" s="10" t="s">
        <v>27</v>
      </c>
      <c r="B17" s="7"/>
      <c r="C17" s="7">
        <f>COUNT(C21:C2191)</f>
        <v>3</v>
      </c>
      <c r="E17" s="40" t="s">
        <v>49</v>
      </c>
      <c r="F17" s="47">
        <f ca="1">+$C$15+$C$16*$F$16-15018.5-$C$5/24</f>
        <v>45527.482210109156</v>
      </c>
    </row>
    <row r="18" spans="1:21" ht="14.25" thickTop="1" thickBot="1" x14ac:dyDescent="0.25">
      <c r="A18" s="11" t="s">
        <v>5</v>
      </c>
      <c r="B18" s="7"/>
      <c r="C18" s="13">
        <f ca="1">+C15</f>
        <v>60168.51236133332</v>
      </c>
      <c r="D18" s="14">
        <f ca="1">+C16</f>
        <v>0.71415533227746675</v>
      </c>
      <c r="E18" s="41" t="s">
        <v>50</v>
      </c>
      <c r="F18" s="46">
        <f ca="1">+($C$15+$C$16*$F$16)-($C$16/2)-15018.5-$C$5/24</f>
        <v>45527.12513244302</v>
      </c>
    </row>
    <row r="19" spans="1:21" ht="13.5" thickTop="1" x14ac:dyDescent="0.2">
      <c r="F19" t="s">
        <v>42</v>
      </c>
    </row>
    <row r="20" spans="1:21" ht="12.95" customHeight="1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37</v>
      </c>
      <c r="I20" s="5" t="s">
        <v>38</v>
      </c>
      <c r="J20" s="5" t="s">
        <v>39</v>
      </c>
      <c r="K20" s="5" t="s">
        <v>40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0" t="s">
        <v>32</v>
      </c>
    </row>
    <row r="21" spans="1:21" ht="12.95" customHeight="1" x14ac:dyDescent="0.2">
      <c r="A21" t="str">
        <f>D7</f>
        <v>VSX</v>
      </c>
      <c r="C21" s="51">
        <f>C$7</f>
        <v>58343.8459</v>
      </c>
      <c r="D21" s="52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-4.1263560724435263E-4</v>
      </c>
      <c r="Q21" s="1">
        <f>+C21-15018.5</f>
        <v>43325.3459</v>
      </c>
    </row>
    <row r="22" spans="1:21" ht="12.95" customHeight="1" x14ac:dyDescent="0.2">
      <c r="A22" s="37" t="s">
        <v>47</v>
      </c>
      <c r="B22" s="38" t="s">
        <v>48</v>
      </c>
      <c r="C22" s="50">
        <v>59738.589099999997</v>
      </c>
      <c r="D22" s="53">
        <v>4.1999999999999997E-3</v>
      </c>
      <c r="E22">
        <f>+(C22-C$7)/C$8</f>
        <v>1953.0115521949133</v>
      </c>
      <c r="F22">
        <f>ROUND(2*E22,0)/2</f>
        <v>1953</v>
      </c>
      <c r="G22">
        <f>+C22-(C$7+F22*C$8)</f>
        <v>8.2499999989522621E-3</v>
      </c>
      <c r="K22">
        <f>+G22</f>
        <v>8.2499999989522621E-3</v>
      </c>
      <c r="O22">
        <f ca="1">+C$11+C$12*$F22</f>
        <v>1.0001302285512596E-2</v>
      </c>
      <c r="Q22" s="1">
        <f>+C22-15018.5</f>
        <v>44720.089099999997</v>
      </c>
    </row>
    <row r="23" spans="1:21" ht="12.95" customHeight="1" x14ac:dyDescent="0.2">
      <c r="A23" s="48" t="s">
        <v>53</v>
      </c>
      <c r="B23" s="49" t="s">
        <v>48</v>
      </c>
      <c r="C23" s="48">
        <v>60168.513700000003</v>
      </c>
      <c r="D23" s="48">
        <v>4.1999999999999997E-3</v>
      </c>
      <c r="E23">
        <f>+(C23-C$7)/C$8</f>
        <v>2555.0203738710397</v>
      </c>
      <c r="F23">
        <f>ROUND(2*E23,0)/2</f>
        <v>2555</v>
      </c>
      <c r="G23">
        <f>+C23-(C$7+F23*C$8)</f>
        <v>1.4549999999871943E-2</v>
      </c>
      <c r="K23">
        <f>+G23</f>
        <v>1.4549999999871943E-2</v>
      </c>
      <c r="O23">
        <f ca="1">+C$11+C$12*$F23</f>
        <v>1.3211333320555959E-2</v>
      </c>
      <c r="Q23" s="1">
        <f>+C23-15018.5</f>
        <v>45150.013700000003</v>
      </c>
    </row>
    <row r="24" spans="1:21" ht="12.95" customHeight="1" x14ac:dyDescent="0.2">
      <c r="C24" s="51"/>
      <c r="D24" s="52"/>
      <c r="Q24" s="1"/>
    </row>
    <row r="25" spans="1:21" ht="12.95" customHeight="1" x14ac:dyDescent="0.2">
      <c r="C25" s="51"/>
      <c r="D25" s="52"/>
      <c r="Q25" s="1"/>
    </row>
    <row r="26" spans="1:21" ht="12.95" customHeight="1" x14ac:dyDescent="0.2">
      <c r="C26" s="51"/>
      <c r="D26" s="52"/>
      <c r="Q26" s="1"/>
    </row>
    <row r="27" spans="1:21" ht="12.95" customHeight="1" x14ac:dyDescent="0.2">
      <c r="C27" s="51"/>
      <c r="D27" s="52"/>
      <c r="Q27" s="1"/>
    </row>
    <row r="28" spans="1:21" ht="12.95" customHeight="1" x14ac:dyDescent="0.2">
      <c r="C28" s="52"/>
      <c r="D28" s="52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2024-08-22T06:41:25Z</dcterms:modified>
</cp:coreProperties>
</file>