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5236869-95E7-4F8B-9936-A579B59F247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75" i="1" l="1"/>
  <c r="D11" i="1"/>
  <c r="D12" i="1"/>
  <c r="D13" i="1"/>
  <c r="Q21" i="1"/>
  <c r="Q73" i="1"/>
  <c r="Q74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4" i="1"/>
  <c r="Q65" i="1"/>
  <c r="Q66" i="1"/>
  <c r="Q68" i="1"/>
  <c r="Q69" i="1"/>
  <c r="Q70" i="1"/>
  <c r="G13" i="2"/>
  <c r="C13" i="2"/>
  <c r="G12" i="2"/>
  <c r="C12" i="2"/>
  <c r="G61" i="2"/>
  <c r="C61" i="2"/>
  <c r="G60" i="2"/>
  <c r="C60" i="2"/>
  <c r="G59" i="2"/>
  <c r="C59" i="2"/>
  <c r="G58" i="2"/>
  <c r="C58" i="2"/>
  <c r="G57" i="2"/>
  <c r="C57" i="2"/>
  <c r="E57" i="2"/>
  <c r="G56" i="2"/>
  <c r="C56" i="2"/>
  <c r="G11" i="2"/>
  <c r="C11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H13" i="2"/>
  <c r="B13" i="2"/>
  <c r="D13" i="2"/>
  <c r="A13" i="2"/>
  <c r="H12" i="2"/>
  <c r="B12" i="2"/>
  <c r="D12" i="2"/>
  <c r="A1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11" i="2"/>
  <c r="B11" i="2"/>
  <c r="D11" i="2"/>
  <c r="A11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Q71" i="1"/>
  <c r="Q72" i="1"/>
  <c r="F16" i="1"/>
  <c r="F17" i="1" s="1"/>
  <c r="C17" i="1"/>
  <c r="Q63" i="1"/>
  <c r="C7" i="1"/>
  <c r="E68" i="1"/>
  <c r="F68" i="1"/>
  <c r="G68" i="1"/>
  <c r="C8" i="1"/>
  <c r="Q67" i="1"/>
  <c r="W8" i="1"/>
  <c r="W16" i="1"/>
  <c r="W9" i="1"/>
  <c r="W17" i="1"/>
  <c r="W11" i="1"/>
  <c r="W3" i="1"/>
  <c r="W4" i="1"/>
  <c r="W12" i="1"/>
  <c r="W2" i="1"/>
  <c r="W5" i="1"/>
  <c r="W13" i="1"/>
  <c r="E38" i="1"/>
  <c r="F38" i="1"/>
  <c r="E70" i="1"/>
  <c r="F70" i="1"/>
  <c r="E30" i="1"/>
  <c r="F30" i="1"/>
  <c r="P30" i="1"/>
  <c r="R30" i="1" s="1"/>
  <c r="T30" i="1" s="1"/>
  <c r="E59" i="1"/>
  <c r="F59" i="1"/>
  <c r="G59" i="1"/>
  <c r="I59" i="1"/>
  <c r="E21" i="1"/>
  <c r="F21" i="1"/>
  <c r="E75" i="1"/>
  <c r="F75" i="1"/>
  <c r="P75" i="1"/>
  <c r="E72" i="1"/>
  <c r="E35" i="1"/>
  <c r="F35" i="1"/>
  <c r="G35" i="1"/>
  <c r="I35" i="1"/>
  <c r="E54" i="1"/>
  <c r="F54" i="1"/>
  <c r="E31" i="1"/>
  <c r="F31" i="1"/>
  <c r="P31" i="1"/>
  <c r="E65" i="1"/>
  <c r="F65" i="1"/>
  <c r="P65" i="1"/>
  <c r="E50" i="1"/>
  <c r="F50" i="1"/>
  <c r="E69" i="1"/>
  <c r="F69" i="1"/>
  <c r="E39" i="1"/>
  <c r="F39" i="1"/>
  <c r="P39" i="1"/>
  <c r="R39" i="1" s="1"/>
  <c r="T39" i="1" s="1"/>
  <c r="E60" i="1"/>
  <c r="F60" i="1"/>
  <c r="E32" i="1"/>
  <c r="F32" i="1"/>
  <c r="P32" i="1"/>
  <c r="E73" i="1"/>
  <c r="F73" i="1"/>
  <c r="E62" i="1"/>
  <c r="F62" i="1"/>
  <c r="G62" i="1"/>
  <c r="I62" i="1"/>
  <c r="W7" i="1"/>
  <c r="W6" i="1"/>
  <c r="W18" i="1"/>
  <c r="W15" i="1"/>
  <c r="W14" i="1"/>
  <c r="F72" i="1"/>
  <c r="G72" i="1"/>
  <c r="P68" i="1"/>
  <c r="R68" i="1" s="1"/>
  <c r="T68" i="1" s="1"/>
  <c r="E32" i="2"/>
  <c r="E28" i="2"/>
  <c r="G31" i="1"/>
  <c r="I31" i="1"/>
  <c r="I68" i="1"/>
  <c r="K72" i="1"/>
  <c r="G54" i="1"/>
  <c r="I54" i="1"/>
  <c r="P54" i="1"/>
  <c r="E51" i="2"/>
  <c r="E42" i="2"/>
  <c r="P72" i="1"/>
  <c r="R72" i="1" s="1"/>
  <c r="T72" i="1" s="1"/>
  <c r="E47" i="2"/>
  <c r="E23" i="1"/>
  <c r="E28" i="1"/>
  <c r="F28" i="1"/>
  <c r="E27" i="1"/>
  <c r="E41" i="1"/>
  <c r="E45" i="1"/>
  <c r="F45" i="1"/>
  <c r="E21" i="2"/>
  <c r="E60" i="2"/>
  <c r="G32" i="1"/>
  <c r="I32" i="1"/>
  <c r="E47" i="1"/>
  <c r="E52" i="1"/>
  <c r="F52" i="1"/>
  <c r="E61" i="1"/>
  <c r="E55" i="1"/>
  <c r="E14" i="2"/>
  <c r="E23" i="2"/>
  <c r="E31" i="2"/>
  <c r="E55" i="2"/>
  <c r="W10" i="1"/>
  <c r="P62" i="1"/>
  <c r="R62" i="1"/>
  <c r="T62" i="1" s="1"/>
  <c r="E53" i="2"/>
  <c r="G39" i="1"/>
  <c r="I39" i="1"/>
  <c r="E74" i="1"/>
  <c r="F74" i="1"/>
  <c r="P74" i="1"/>
  <c r="E49" i="1"/>
  <c r="F49" i="1"/>
  <c r="E58" i="1"/>
  <c r="F58" i="1"/>
  <c r="E61" i="2"/>
  <c r="E25" i="2"/>
  <c r="P69" i="1"/>
  <c r="R69" i="1" s="1"/>
  <c r="T69" i="1" s="1"/>
  <c r="G69" i="1"/>
  <c r="E43" i="2"/>
  <c r="G30" i="1"/>
  <c r="P35" i="1"/>
  <c r="R35" i="1"/>
  <c r="T35" i="1" s="1"/>
  <c r="P49" i="1"/>
  <c r="G49" i="1"/>
  <c r="I49" i="1"/>
  <c r="P21" i="1"/>
  <c r="R21" i="1" s="1"/>
  <c r="T21" i="1" s="1"/>
  <c r="G21" i="1"/>
  <c r="I21" i="1"/>
  <c r="P38" i="1"/>
  <c r="G38" i="1"/>
  <c r="I38" i="1"/>
  <c r="P45" i="1"/>
  <c r="G45" i="1"/>
  <c r="I45" i="1"/>
  <c r="E36" i="2"/>
  <c r="E52" i="2"/>
  <c r="R31" i="1"/>
  <c r="T31" i="1"/>
  <c r="P50" i="1"/>
  <c r="G50" i="1"/>
  <c r="I50" i="1"/>
  <c r="P59" i="1"/>
  <c r="R59" i="1"/>
  <c r="T59" i="1" s="1"/>
  <c r="G73" i="1"/>
  <c r="K73" i="1"/>
  <c r="P73" i="1"/>
  <c r="R73" i="1"/>
  <c r="T73" i="1" s="1"/>
  <c r="G60" i="1"/>
  <c r="I60" i="1"/>
  <c r="P60" i="1"/>
  <c r="E38" i="2"/>
  <c r="G70" i="1"/>
  <c r="I70" i="1"/>
  <c r="P70" i="1"/>
  <c r="R70" i="1" s="1"/>
  <c r="T70" i="1" s="1"/>
  <c r="G65" i="1"/>
  <c r="I65" i="1"/>
  <c r="E59" i="2"/>
  <c r="E24" i="2"/>
  <c r="E11" i="2"/>
  <c r="E13" i="2"/>
  <c r="E51" i="1"/>
  <c r="F51" i="1"/>
  <c r="E43" i="1"/>
  <c r="F43" i="1"/>
  <c r="E44" i="1"/>
  <c r="F44" i="1"/>
  <c r="E48" i="1"/>
  <c r="E36" i="1"/>
  <c r="F36" i="1"/>
  <c r="E26" i="1"/>
  <c r="F26" i="1"/>
  <c r="E34" i="1"/>
  <c r="F34" i="1"/>
  <c r="E46" i="1"/>
  <c r="E53" i="1"/>
  <c r="E57" i="1"/>
  <c r="F57" i="1"/>
  <c r="E67" i="1"/>
  <c r="F67" i="1"/>
  <c r="E37" i="1"/>
  <c r="E71" i="1"/>
  <c r="F71" i="1"/>
  <c r="E29" i="1"/>
  <c r="E25" i="1"/>
  <c r="F25" i="1"/>
  <c r="E40" i="1"/>
  <c r="F40" i="1"/>
  <c r="E33" i="1"/>
  <c r="F33" i="1"/>
  <c r="G75" i="1"/>
  <c r="K75" i="1"/>
  <c r="E63" i="1"/>
  <c r="F63" i="1"/>
  <c r="E22" i="1"/>
  <c r="E24" i="1"/>
  <c r="E64" i="1"/>
  <c r="F64" i="1"/>
  <c r="E42" i="1"/>
  <c r="E56" i="1"/>
  <c r="E66" i="1"/>
  <c r="F66" i="1"/>
  <c r="R32" i="1"/>
  <c r="T32" i="1" s="1"/>
  <c r="P58" i="1"/>
  <c r="G58" i="1"/>
  <c r="I58" i="1"/>
  <c r="G74" i="1"/>
  <c r="K74" i="1"/>
  <c r="E45" i="2"/>
  <c r="F55" i="1"/>
  <c r="E48" i="2"/>
  <c r="E54" i="2"/>
  <c r="F61" i="1"/>
  <c r="F41" i="1"/>
  <c r="E34" i="2"/>
  <c r="P52" i="1"/>
  <c r="R52" i="1" s="1"/>
  <c r="T52" i="1" s="1"/>
  <c r="G52" i="1"/>
  <c r="I52" i="1"/>
  <c r="F27" i="1"/>
  <c r="E20" i="2"/>
  <c r="F47" i="1"/>
  <c r="E40" i="2"/>
  <c r="P28" i="1"/>
  <c r="G28" i="1"/>
  <c r="I28" i="1"/>
  <c r="R54" i="1"/>
  <c r="T54" i="1"/>
  <c r="E19" i="2"/>
  <c r="E16" i="2"/>
  <c r="F23" i="1"/>
  <c r="G64" i="1"/>
  <c r="I64" i="1"/>
  <c r="P64" i="1"/>
  <c r="F42" i="1"/>
  <c r="E35" i="2"/>
  <c r="G25" i="1"/>
  <c r="I25" i="1"/>
  <c r="P25" i="1"/>
  <c r="R25" i="1" s="1"/>
  <c r="T25" i="1" s="1"/>
  <c r="P34" i="1"/>
  <c r="G34" i="1"/>
  <c r="I34" i="1"/>
  <c r="E27" i="2"/>
  <c r="G26" i="1"/>
  <c r="I26" i="1"/>
  <c r="P26" i="1"/>
  <c r="R26" i="1" s="1"/>
  <c r="T26" i="1" s="1"/>
  <c r="F24" i="1"/>
  <c r="E17" i="2"/>
  <c r="P71" i="1"/>
  <c r="G71" i="1"/>
  <c r="G36" i="1"/>
  <c r="I36" i="1"/>
  <c r="P36" i="1"/>
  <c r="E44" i="2"/>
  <c r="R75" i="1"/>
  <c r="T75" i="1"/>
  <c r="F22" i="1"/>
  <c r="E15" i="2"/>
  <c r="F37" i="1"/>
  <c r="E30" i="2"/>
  <c r="F48" i="1"/>
  <c r="E41" i="2"/>
  <c r="R49" i="1"/>
  <c r="T49" i="1"/>
  <c r="R65" i="1"/>
  <c r="T65" i="1"/>
  <c r="P63" i="1"/>
  <c r="R63" i="1" s="1"/>
  <c r="T63" i="1" s="1"/>
  <c r="G63" i="1"/>
  <c r="I63" i="1"/>
  <c r="G67" i="1"/>
  <c r="I67" i="1"/>
  <c r="P67" i="1"/>
  <c r="R67" i="1" s="1"/>
  <c r="T67" i="1" s="1"/>
  <c r="P44" i="1"/>
  <c r="R44" i="1"/>
  <c r="T44" i="1"/>
  <c r="G44" i="1"/>
  <c r="I44" i="1"/>
  <c r="E37" i="2"/>
  <c r="I69" i="1"/>
  <c r="F29" i="1"/>
  <c r="E22" i="2"/>
  <c r="P57" i="1"/>
  <c r="G57" i="1"/>
  <c r="I57" i="1"/>
  <c r="G43" i="1"/>
  <c r="I43" i="1"/>
  <c r="P43" i="1"/>
  <c r="E29" i="2"/>
  <c r="R45" i="1"/>
  <c r="T45" i="1"/>
  <c r="I30" i="1"/>
  <c r="P66" i="1"/>
  <c r="R66" i="1" s="1"/>
  <c r="T66" i="1" s="1"/>
  <c r="G66" i="1"/>
  <c r="I66" i="1"/>
  <c r="G33" i="1"/>
  <c r="I33" i="1"/>
  <c r="P33" i="1"/>
  <c r="F53" i="1"/>
  <c r="E46" i="2"/>
  <c r="G51" i="1"/>
  <c r="I51" i="1"/>
  <c r="P51" i="1"/>
  <c r="E12" i="2"/>
  <c r="E58" i="2"/>
  <c r="E56" i="2"/>
  <c r="E18" i="2"/>
  <c r="F56" i="1"/>
  <c r="E49" i="2"/>
  <c r="P40" i="1"/>
  <c r="R40" i="1" s="1"/>
  <c r="T40" i="1" s="1"/>
  <c r="G40" i="1"/>
  <c r="I40" i="1"/>
  <c r="F46" i="1"/>
  <c r="E39" i="2"/>
  <c r="E26" i="2"/>
  <c r="R60" i="1"/>
  <c r="T60" i="1"/>
  <c r="R50" i="1"/>
  <c r="T50" i="1" s="1"/>
  <c r="R38" i="1"/>
  <c r="T38" i="1" s="1"/>
  <c r="E33" i="2"/>
  <c r="E50" i="2"/>
  <c r="P23" i="1"/>
  <c r="G23" i="1"/>
  <c r="I23" i="1"/>
  <c r="R57" i="1"/>
  <c r="T57" i="1" s="1"/>
  <c r="P27" i="1"/>
  <c r="G27" i="1"/>
  <c r="I27" i="1"/>
  <c r="P55" i="1"/>
  <c r="R55" i="1" s="1"/>
  <c r="T55" i="1" s="1"/>
  <c r="U55" i="1"/>
  <c r="R74" i="1"/>
  <c r="T74" i="1"/>
  <c r="R28" i="1"/>
  <c r="T28" i="1" s="1"/>
  <c r="G41" i="1"/>
  <c r="I41" i="1"/>
  <c r="P41" i="1"/>
  <c r="R36" i="1"/>
  <c r="T36" i="1" s="1"/>
  <c r="R64" i="1"/>
  <c r="T64" i="1"/>
  <c r="P61" i="1"/>
  <c r="R61" i="1"/>
  <c r="T61" i="1" s="1"/>
  <c r="G61" i="1"/>
  <c r="I61" i="1"/>
  <c r="R58" i="1"/>
  <c r="T58" i="1"/>
  <c r="P47" i="1"/>
  <c r="R47" i="1" s="1"/>
  <c r="T47" i="1" s="1"/>
  <c r="G47" i="1"/>
  <c r="I47" i="1"/>
  <c r="J71" i="1"/>
  <c r="G37" i="1"/>
  <c r="I37" i="1"/>
  <c r="P37" i="1"/>
  <c r="R71" i="1"/>
  <c r="T71" i="1" s="1"/>
  <c r="R34" i="1"/>
  <c r="T34" i="1" s="1"/>
  <c r="P56" i="1"/>
  <c r="R56" i="1"/>
  <c r="T56" i="1" s="1"/>
  <c r="G56" i="1"/>
  <c r="I56" i="1"/>
  <c r="G53" i="1"/>
  <c r="I53" i="1"/>
  <c r="P53" i="1"/>
  <c r="G29" i="1"/>
  <c r="I29" i="1"/>
  <c r="P29" i="1"/>
  <c r="R29" i="1" s="1"/>
  <c r="T29" i="1" s="1"/>
  <c r="R33" i="1"/>
  <c r="T33" i="1"/>
  <c r="G22" i="1"/>
  <c r="I22" i="1"/>
  <c r="P22" i="1"/>
  <c r="R22" i="1"/>
  <c r="T22" i="1" s="1"/>
  <c r="D15" i="1"/>
  <c r="C19" i="1" s="1"/>
  <c r="D16" i="1"/>
  <c r="D19" i="1"/>
  <c r="P24" i="1"/>
  <c r="R24" i="1" s="1"/>
  <c r="T24" i="1" s="1"/>
  <c r="G24" i="1"/>
  <c r="I24" i="1"/>
  <c r="R43" i="1"/>
  <c r="T43" i="1"/>
  <c r="P42" i="1"/>
  <c r="R42" i="1"/>
  <c r="T42" i="1"/>
  <c r="G42" i="1"/>
  <c r="I42" i="1"/>
  <c r="G46" i="1"/>
  <c r="I46" i="1"/>
  <c r="P46" i="1"/>
  <c r="R46" i="1" s="1"/>
  <c r="T46" i="1" s="1"/>
  <c r="R51" i="1"/>
  <c r="T51" i="1" s="1"/>
  <c r="P48" i="1"/>
  <c r="G48" i="1"/>
  <c r="I48" i="1"/>
  <c r="R27" i="1"/>
  <c r="T27" i="1"/>
  <c r="R41" i="1"/>
  <c r="T41" i="1"/>
  <c r="R23" i="1"/>
  <c r="T23" i="1" s="1"/>
  <c r="R53" i="1"/>
  <c r="T53" i="1" s="1"/>
  <c r="R48" i="1"/>
  <c r="T48" i="1"/>
  <c r="R37" i="1"/>
  <c r="T37" i="1" s="1"/>
  <c r="C11" i="1"/>
  <c r="C12" i="1"/>
  <c r="C16" i="1" l="1"/>
  <c r="D18" i="1" s="1"/>
  <c r="O70" i="1"/>
  <c r="O71" i="1"/>
  <c r="O66" i="1"/>
  <c r="O67" i="1"/>
  <c r="O64" i="1"/>
  <c r="O75" i="1"/>
  <c r="C15" i="1"/>
  <c r="O73" i="1"/>
  <c r="O69" i="1"/>
  <c r="O65" i="1"/>
  <c r="O68" i="1"/>
  <c r="O72" i="1"/>
  <c r="O74" i="1"/>
  <c r="E14" i="1"/>
  <c r="F18" i="1" l="1"/>
  <c r="F19" i="1" s="1"/>
  <c r="C18" i="1"/>
</calcChain>
</file>

<file path=xl/sharedStrings.xml><?xml version="1.0" encoding="utf-8"?>
<sst xmlns="http://schemas.openxmlformats.org/spreadsheetml/2006/main" count="586" uniqueCount="232">
  <si>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</si>
  <si>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</si>
  <si>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</si>
  <si>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</si>
  <si>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Linear Ephemeris =</t>
  </si>
  <si>
    <t>Quad. Ephemeris =</t>
  </si>
  <si>
    <t>BAD' point is a secondary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</si>
  <si>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</si>
  <si>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</si>
  <si>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</si>
  <si>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</si>
  <si>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</si>
  <si>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</si>
  <si>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</si>
  <si>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</si>
  <si>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</si>
  <si>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</si>
  <si>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</si>
  <si>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</si>
  <si>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</si>
  <si>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</si>
  <si>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</si>
  <si>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</si>
  <si>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</si>
  <si>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</si>
  <si>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</si>
  <si>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</si>
  <si>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</si>
  <si>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</si>
  <si>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</si>
  <si>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</si>
  <si>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</si>
  <si>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</si>
  <si>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</si>
  <si>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</si>
  <si>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</si>
  <si>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</si>
  <si>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</si>
  <si>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</si>
  <si>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</si>
  <si>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</si>
  <si>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</si>
  <si>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>BW Del / GSC 1635-1145</t>
  </si>
  <si>
    <t>EA</t>
  </si>
  <si>
    <t>IBVS 0035</t>
  </si>
  <si>
    <t>Add cycle</t>
  </si>
  <si>
    <t>Old Cycle</t>
  </si>
  <si>
    <t>IBVS 6005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</si>
  <si>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</si>
  <si>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</si>
  <si>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</si>
  <si>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</si>
  <si>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</si>
  <si>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</si>
  <si>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</si>
  <si>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</si>
  <si>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</si>
  <si>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</si>
  <si>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</si>
  <si>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</si>
  <si>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</si>
  <si>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2425795.50 </t>
  </si>
  <si>
    <t> 03.07.1929 00:00 </t>
  </si>
  <si>
    <t> 0.11 </t>
  </si>
  <si>
    <t>P </t>
  </si>
  <si>
    <t> C.Hoffmeister </t>
  </si>
  <si>
    <t> VSS 1.152 </t>
  </si>
  <si>
    <t>2425807.51 </t>
  </si>
  <si>
    <t> 15.07.1929 00:14 </t>
  </si>
  <si>
    <t> 0.00 </t>
  </si>
  <si>
    <t>2425909.33 </t>
  </si>
  <si>
    <t> 24.10.1929 19:55 </t>
  </si>
  <si>
    <t> 0.05 </t>
  </si>
  <si>
    <t>2425921.29 </t>
  </si>
  <si>
    <t> 05.11.1929 18:57 </t>
  </si>
  <si>
    <t> -0.10 </t>
  </si>
  <si>
    <t>2426219.47 </t>
  </si>
  <si>
    <t> 30.08.1930 23:16 </t>
  </si>
  <si>
    <t> 0.04 </t>
  </si>
  <si>
    <t>2427668.39 </t>
  </si>
  <si>
    <t> 18.08.1934 21:21 </t>
  </si>
  <si>
    <t> -0.07 </t>
  </si>
  <si>
    <t>2427685.39 </t>
  </si>
  <si>
    <t> 04.09.1934 21:21 </t>
  </si>
  <si>
    <t> -0.03 </t>
  </si>
  <si>
    <t>2427719.37 </t>
  </si>
  <si>
    <t> 08.10.1934 20:52 </t>
  </si>
  <si>
    <t> 0.03 </t>
  </si>
  <si>
    <t>2427932.56 </t>
  </si>
  <si>
    <t> 10.05.1935 01:26 </t>
  </si>
  <si>
    <t> -0.02 </t>
  </si>
  <si>
    <t>2427978.49 </t>
  </si>
  <si>
    <t> 24.06.1935 23:45 </t>
  </si>
  <si>
    <t> -0.13 </t>
  </si>
  <si>
    <t>2428046.42 </t>
  </si>
  <si>
    <t> 31.08.1935 22:04 </t>
  </si>
  <si>
    <t> -0.04 </t>
  </si>
  <si>
    <t>2428790.39 </t>
  </si>
  <si>
    <t> 13.09.1937 21:21 </t>
  </si>
  <si>
    <t>V </t>
  </si>
  <si>
    <t> S.Piotrowski </t>
  </si>
  <si>
    <t> AAC 4 (COVS) </t>
  </si>
  <si>
    <t>2428858.219 </t>
  </si>
  <si>
    <t> 20.11.1937 17:15 </t>
  </si>
  <si>
    <t> 0.013 </t>
  </si>
  <si>
    <t> G.A.Lange </t>
  </si>
  <si>
    <t> AC 192.30 </t>
  </si>
  <si>
    <t>2430222.40 </t>
  </si>
  <si>
    <t> 15.08.1941 21:36 </t>
  </si>
  <si>
    <t>2430600.41 </t>
  </si>
  <si>
    <t> 28.08.1942 21:50 </t>
  </si>
  <si>
    <t>2430605.30 </t>
  </si>
  <si>
    <t> 02.09.1942 19:12 </t>
  </si>
  <si>
    <t>2430612.57 </t>
  </si>
  <si>
    <t> 10.09.1942 01:40 </t>
  </si>
  <si>
    <t>2430908.17 </t>
  </si>
  <si>
    <t> 02.07.1943 16:04 </t>
  </si>
  <si>
    <t> 0.01 </t>
  </si>
  <si>
    <t> W.Zessewitsch </t>
  </si>
  <si>
    <t> IODE 4.2.12 </t>
  </si>
  <si>
    <t>2430932.46 </t>
  </si>
  <si>
    <t> 26.07.1943 23:02 </t>
  </si>
  <si>
    <t> 0.07 </t>
  </si>
  <si>
    <t>2430937.25 </t>
  </si>
  <si>
    <t> 31.07.1943 18:00 </t>
  </si>
  <si>
    <t>2430956.629 </t>
  </si>
  <si>
    <t> 20.08.1943 03:05 </t>
  </si>
  <si>
    <t> 0.006 </t>
  </si>
  <si>
    <t>2430966.33 </t>
  </si>
  <si>
    <t> 29.08.1943 19:55 </t>
  </si>
  <si>
    <t>2430971.12 </t>
  </si>
  <si>
    <t> 03.09.1943 14:52 </t>
  </si>
  <si>
    <t>2430995.38 </t>
  </si>
  <si>
    <t> 27.09.1943 21:07 </t>
  </si>
  <si>
    <t> -0.01 </t>
  </si>
  <si>
    <t>2431000.29 </t>
  </si>
  <si>
    <t> 02.10.1943 18:57 </t>
  </si>
  <si>
    <t>2431150.50 </t>
  </si>
  <si>
    <t> 01.03.1944 00:00 </t>
  </si>
  <si>
    <t>2431213.46 </t>
  </si>
  <si>
    <t> 02.05.1944 23:02 </t>
  </si>
  <si>
    <t>2431230.42 </t>
  </si>
  <si>
    <t> 19.05.1944 22:04 </t>
  </si>
  <si>
    <t>2431235.29 </t>
  </si>
  <si>
    <t> 24.05.1944 18:57 </t>
  </si>
  <si>
    <t>2431252.25 </t>
  </si>
  <si>
    <t> 10.06.1944 18:00 </t>
  </si>
  <si>
    <t>2431259.50 </t>
  </si>
  <si>
    <t> 18.06.1944 00:00 </t>
  </si>
  <si>
    <t>2431269.21 </t>
  </si>
  <si>
    <t> 27.06.1944 17:02 </t>
  </si>
  <si>
    <t>2431298.29 </t>
  </si>
  <si>
    <t> 26.07.1944 18:57 </t>
  </si>
  <si>
    <t>2431315.25 </t>
  </si>
  <si>
    <t> 12.08.1944 18:00 </t>
  </si>
  <si>
    <t>2431776.20 </t>
  </si>
  <si>
    <t> 16.11.1945 16:48 </t>
  </si>
  <si>
    <t> 0.56 </t>
  </si>
  <si>
    <t>2436842.338 </t>
  </si>
  <si>
    <t> 30.09.1959 20:06 </t>
  </si>
  <si>
    <t> -0.029 </t>
  </si>
  <si>
    <t> H.Busch </t>
  </si>
  <si>
    <t> HABZ 7 </t>
  </si>
  <si>
    <t>2436842.384 </t>
  </si>
  <si>
    <t> 30.09.1959 21:12 </t>
  </si>
  <si>
    <t> 0.017 </t>
  </si>
  <si>
    <t>2436842.428 </t>
  </si>
  <si>
    <t> 30.09.1959 22:16 </t>
  </si>
  <si>
    <t> 0.061 </t>
  </si>
  <si>
    <t>2436876.288 </t>
  </si>
  <si>
    <t> 03.11.1959 18:54 </t>
  </si>
  <si>
    <t> -0.002 </t>
  </si>
  <si>
    <t>2437375.468 </t>
  </si>
  <si>
    <t> 16.03.1961 23:13 </t>
  </si>
  <si>
    <t> 0.016 </t>
  </si>
  <si>
    <t> V.G.Karetnikov </t>
  </si>
  <si>
    <t> AC 1162.6 </t>
  </si>
  <si>
    <t>2437906.107 </t>
  </si>
  <si>
    <t> 29.08.1962 14:34 </t>
  </si>
  <si>
    <t> -0.007 </t>
  </si>
  <si>
    <t>2438087.854 </t>
  </si>
  <si>
    <t> 27.02.1963 08:29 </t>
  </si>
  <si>
    <t> 0.007 </t>
  </si>
  <si>
    <t>2438291.34 </t>
  </si>
  <si>
    <t> 18.09.1963 20:09 </t>
  </si>
  <si>
    <t> -0.05 </t>
  </si>
  <si>
    <t> K.Kordylewski </t>
  </si>
  <si>
    <t>IBVS 35 </t>
  </si>
  <si>
    <t>2438657.283 </t>
  </si>
  <si>
    <t> 18.09.1964 18:47 </t>
  </si>
  <si>
    <t> 0.004 </t>
  </si>
  <si>
    <t>2439173.410 </t>
  </si>
  <si>
    <t> 16.02.1966 21:50 </t>
  </si>
  <si>
    <t> 0.008 </t>
  </si>
  <si>
    <t>2450283.624 </t>
  </si>
  <si>
    <t> 19.07.1996 02:58 </t>
  </si>
  <si>
    <t> 0.244 </t>
  </si>
  <si>
    <t>E </t>
  </si>
  <si>
    <t>?</t>
  </si>
  <si>
    <t> S.P.Cook </t>
  </si>
  <si>
    <t> JAVSO 26.14 </t>
  </si>
  <si>
    <t>2454308.5096 </t>
  </si>
  <si>
    <t> 27.07.2007 00:13 </t>
  </si>
  <si>
    <t> 0.3372 </t>
  </si>
  <si>
    <t>C </t>
  </si>
  <si>
    <t>-I</t>
  </si>
  <si>
    <t> F.Agerer </t>
  </si>
  <si>
    <t>BAVM 193 </t>
  </si>
  <si>
    <t>2454325.4742 </t>
  </si>
  <si>
    <t> 12.08.2007 23:22 </t>
  </si>
  <si>
    <t>11774</t>
  </si>
  <si>
    <t> 0.3400 </t>
  </si>
  <si>
    <t>2454703.4903 </t>
  </si>
  <si>
    <t> 24.08.2008 23:46 </t>
  </si>
  <si>
    <t>11930</t>
  </si>
  <si>
    <t> 0.3503 </t>
  </si>
  <si>
    <t>BAVM 203 </t>
  </si>
  <si>
    <t>2455396.5233 </t>
  </si>
  <si>
    <t> 19.07.2010 00:33 </t>
  </si>
  <si>
    <t>12216</t>
  </si>
  <si>
    <t> 0.3727 </t>
  </si>
  <si>
    <t>BAVM 215 </t>
  </si>
  <si>
    <t>2455813.3112 </t>
  </si>
  <si>
    <t> 08.09.2011 19:28 </t>
  </si>
  <si>
    <t>12388</t>
  </si>
  <si>
    <t> 0.3850 </t>
  </si>
  <si>
    <t>B;V</t>
  </si>
  <si>
    <t> A.Liakos &amp; P.Niarchos </t>
  </si>
  <si>
    <t>IBVS 6005 </t>
  </si>
  <si>
    <t>Likely eccentric orbit</t>
  </si>
  <si>
    <t>OEJV 0179</t>
  </si>
  <si>
    <t>JAVSO..48…87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</si>
</sst>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28" fillId="0" borderId="0"/>
    <xf numFmtId="0" fontId="28" fillId="0" borderId="0"/>
    <xf numFmtId="0" fontId="28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7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center" vertical="top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6" fillId="0" borderId="0" xfId="43" applyFont="1"/>
    <xf numFmtId="0" fontId="16" fillId="0" borderId="0" xfId="43" applyFont="1" applyAlignment="1">
      <alignment horizontal="center"/>
    </xf>
    <xf numFmtId="0" fontId="16" fillId="0" borderId="0" xfId="43" applyFont="1" applyAlignment="1">
      <alignment horizontal="left"/>
    </xf>
    <xf numFmtId="0" fontId="0" fillId="0" borderId="18" xfId="0" applyBorder="1" applyAlignment="1"/>
    <xf numFmtId="0" fontId="0" fillId="0" borderId="19" xfId="0" applyBorder="1" applyAlignment="1"/>
    <xf numFmtId="11" fontId="0" fillId="0" borderId="0" xfId="0" applyNumberFormat="1" applyAlignment="1"/>
    <xf numFmtId="0" fontId="0" fillId="0" borderId="20" xfId="0" applyBorder="1" applyAlignment="1"/>
    <xf numFmtId="0" fontId="12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9" fillId="0" borderId="8" xfId="0" applyFont="1" applyFill="1" applyBorder="1" applyAlignment="1">
      <alignment horizontal="center"/>
    </xf>
    <xf numFmtId="0" fontId="14" fillId="0" borderId="0" xfId="0" applyFont="1" applyAlignment="1"/>
    <xf numFmtId="14" fontId="28" fillId="0" borderId="0" xfId="0" applyNumberFormat="1" applyFont="1" applyAlignment="1"/>
    <xf numFmtId="0" fontId="28" fillId="0" borderId="0" xfId="0" applyFont="1" applyAlignment="1"/>
    <xf numFmtId="0" fontId="40" fillId="0" borderId="0" xfId="0" applyFont="1" applyAlignment="1"/>
    <xf numFmtId="0" fontId="28" fillId="0" borderId="0" xfId="0" applyFont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9" fillId="0" borderId="0" xfId="0" quotePrefix="1" applyFont="1" applyAlignment="1"/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Del - O-C Diagr.</a:t>
            </a:r>
          </a:p>
        </c:rich>
      </c:tx>
      <c:layout>
        <c:manualLayout>
          <c:xMode val="edge"/>
          <c:yMode val="edge"/>
          <c:x val="0.3864661654135338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2105263157894737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4C-4CC2-9C9D-06D84D28CA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0.37146500000017113</c:v>
                </c:pt>
                <c:pt idx="1">
                  <c:v>0.26563999999780208</c:v>
                </c:pt>
                <c:pt idx="2">
                  <c:v>0.31270999999833293</c:v>
                </c:pt>
                <c:pt idx="3">
                  <c:v>0.15688500000032946</c:v>
                </c:pt>
                <c:pt idx="4">
                  <c:v>0.2875899999999092</c:v>
                </c:pt>
                <c:pt idx="5">
                  <c:v>0.15491999999721884</c:v>
                </c:pt>
                <c:pt idx="6">
                  <c:v>0.19276499999614316</c:v>
                </c:pt>
                <c:pt idx="7">
                  <c:v>0.24845499999719323</c:v>
                </c:pt>
                <c:pt idx="8">
                  <c:v>0.19993500000055064</c:v>
                </c:pt>
                <c:pt idx="9">
                  <c:v>8.9800000001559965E-2</c:v>
                </c:pt>
                <c:pt idx="10">
                  <c:v>0.17117999999754829</c:v>
                </c:pt>
                <c:pt idx="11">
                  <c:v>0.22952499999883003</c:v>
                </c:pt>
                <c:pt idx="12">
                  <c:v>0.2099049999997078</c:v>
                </c:pt>
                <c:pt idx="13">
                  <c:v>0.14901000000099884</c:v>
                </c:pt>
                <c:pt idx="14">
                  <c:v>0.14526999999725376</c:v>
                </c:pt>
                <c:pt idx="15">
                  <c:v>0.18893999999636435</c:v>
                </c:pt>
                <c:pt idx="16">
                  <c:v>0.1894449999963399</c:v>
                </c:pt>
                <c:pt idx="17">
                  <c:v>0.16331499999796506</c:v>
                </c:pt>
                <c:pt idx="18">
                  <c:v>0.22166499999730149</c:v>
                </c:pt>
                <c:pt idx="19">
                  <c:v>0.16533499999786727</c:v>
                </c:pt>
                <c:pt idx="20">
                  <c:v>0.15901499999745283</c:v>
                </c:pt>
                <c:pt idx="21">
                  <c:v>0.16735500000140746</c:v>
                </c:pt>
                <c:pt idx="22">
                  <c:v>0.11102499999833526</c:v>
                </c:pt>
                <c:pt idx="23">
                  <c:v>0.13937499999883585</c:v>
                </c:pt>
                <c:pt idx="24">
                  <c:v>0.20304499999838299</c:v>
                </c:pt>
                <c:pt idx="25">
                  <c:v>0.17681499999889638</c:v>
                </c:pt>
                <c:pt idx="26">
                  <c:v>0.13452499999766587</c:v>
                </c:pt>
                <c:pt idx="27">
                  <c:v>0.13236999999571708</c:v>
                </c:pt>
                <c:pt idx="28">
                  <c:v>0.15603999999802909</c:v>
                </c:pt>
                <c:pt idx="29">
                  <c:v>0.15388499999971827</c:v>
                </c:pt>
                <c:pt idx="30">
                  <c:v>0.13438999999925727</c:v>
                </c:pt>
                <c:pt idx="31">
                  <c:v>0.15172999999776948</c:v>
                </c:pt>
                <c:pt idx="32">
                  <c:v>0.15374999999767169</c:v>
                </c:pt>
                <c:pt idx="33">
                  <c:v>0.15159499999936088</c:v>
                </c:pt>
                <c:pt idx="35">
                  <c:v>2.3000000510364771E-4</c:v>
                </c:pt>
                <c:pt idx="36">
                  <c:v>4.6229999999923166E-2</c:v>
                </c:pt>
                <c:pt idx="37">
                  <c:v>9.0230000001611188E-2</c:v>
                </c:pt>
                <c:pt idx="38">
                  <c:v>2.592000000004191E-2</c:v>
                </c:pt>
                <c:pt idx="39">
                  <c:v>3.3929999997781124E-2</c:v>
                </c:pt>
                <c:pt idx="40">
                  <c:v>-2.0499999664025381E-4</c:v>
                </c:pt>
                <c:pt idx="41">
                  <c:v>9.4199999948614277E-3</c:v>
                </c:pt>
                <c:pt idx="42">
                  <c:v>-5.0440000006346963E-2</c:v>
                </c:pt>
                <c:pt idx="43">
                  <c:v>-5.3550000011455268E-3</c:v>
                </c:pt>
                <c:pt idx="44">
                  <c:v>-1.2499999997089617E-2</c:v>
                </c:pt>
                <c:pt idx="45">
                  <c:v>-1.0024999995948747E-2</c:v>
                </c:pt>
                <c:pt idx="46">
                  <c:v>0</c:v>
                </c:pt>
                <c:pt idx="47">
                  <c:v>-1.4900000023772009E-3</c:v>
                </c:pt>
                <c:pt idx="48">
                  <c:v>9.5499999588355422E-4</c:v>
                </c:pt>
                <c:pt idx="49">
                  <c:v>3.3149999944726005E-3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4C-4CC2-9C9D-06D84D28CA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50">
                  <c:v>1.112499999726424E-2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4C-4CC2-9C9D-06D84D28CA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51">
                  <c:v>1.4644999995653052E-2</c:v>
                </c:pt>
                <c:pt idx="52">
                  <c:v>3.5369999997783452E-2</c:v>
                </c:pt>
                <c:pt idx="53">
                  <c:v>3.5535000002710149E-2</c:v>
                </c:pt>
                <c:pt idx="54">
                  <c:v>4.5729999998002313E-2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4C-4CC2-9C9D-06D84D28CA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4C-4CC2-9C9D-06D84D28CA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4C-4CC2-9C9D-06D84D28CA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4C-4CC2-9C9D-06D84D28CA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43">
                  <c:v>-0.16701476511267266</c:v>
                </c:pt>
                <c:pt idx="44">
                  <c:v>-0.16152492527922729</c:v>
                </c:pt>
                <c:pt idx="45">
                  <c:v>-4.3351612432528053E-2</c:v>
                </c:pt>
                <c:pt idx="46">
                  <c:v>-1.9768497655051537E-2</c:v>
                </c:pt>
                <c:pt idx="47">
                  <c:v>-5.411712900269712E-4</c:v>
                </c:pt>
                <c:pt idx="48">
                  <c:v>-3.6075401850529237E-4</c:v>
                </c:pt>
                <c:pt idx="49">
                  <c:v>3.6599737468349658E-3</c:v>
                </c:pt>
                <c:pt idx="50">
                  <c:v>1.1031307983292105E-2</c:v>
                </c:pt>
                <c:pt idx="51">
                  <c:v>1.5464418083539058E-2</c:v>
                </c:pt>
                <c:pt idx="52">
                  <c:v>3.4356683801451939E-2</c:v>
                </c:pt>
                <c:pt idx="53">
                  <c:v>3.4897935616016972E-2</c:v>
                </c:pt>
                <c:pt idx="54">
                  <c:v>4.6676606056789388E-2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4C-4CC2-9C9D-06D84D28CA5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34">
                  <c:v>-0.51133750000008149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C4C-4CC2-9C9D-06D84D28C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998464"/>
        <c:axId val="1"/>
      </c:scatterChart>
      <c:valAx>
        <c:axId val="698998464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8998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441860465116277"/>
          <c:w val="0.7142857142857143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Del - O-C Diagr.</a:t>
            </a:r>
          </a:p>
        </c:rich>
      </c:tx>
      <c:layout>
        <c:manualLayout>
          <c:xMode val="edge"/>
          <c:yMode val="edge"/>
          <c:x val="0.385886516437697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681801452528879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EB-4913-9D37-69BF72B0CD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0.37146500000017113</c:v>
                </c:pt>
                <c:pt idx="1">
                  <c:v>0.26563999999780208</c:v>
                </c:pt>
                <c:pt idx="2">
                  <c:v>0.31270999999833293</c:v>
                </c:pt>
                <c:pt idx="3">
                  <c:v>0.15688500000032946</c:v>
                </c:pt>
                <c:pt idx="4">
                  <c:v>0.2875899999999092</c:v>
                </c:pt>
                <c:pt idx="5">
                  <c:v>0.15491999999721884</c:v>
                </c:pt>
                <c:pt idx="6">
                  <c:v>0.19276499999614316</c:v>
                </c:pt>
                <c:pt idx="7">
                  <c:v>0.24845499999719323</c:v>
                </c:pt>
                <c:pt idx="8">
                  <c:v>0.19993500000055064</c:v>
                </c:pt>
                <c:pt idx="9">
                  <c:v>8.9800000001559965E-2</c:v>
                </c:pt>
                <c:pt idx="10">
                  <c:v>0.17117999999754829</c:v>
                </c:pt>
                <c:pt idx="11">
                  <c:v>0.22952499999883003</c:v>
                </c:pt>
                <c:pt idx="12">
                  <c:v>0.2099049999997078</c:v>
                </c:pt>
                <c:pt idx="13">
                  <c:v>0.14901000000099884</c:v>
                </c:pt>
                <c:pt idx="14">
                  <c:v>0.14526999999725376</c:v>
                </c:pt>
                <c:pt idx="15">
                  <c:v>0.18893999999636435</c:v>
                </c:pt>
                <c:pt idx="16">
                  <c:v>0.1894449999963399</c:v>
                </c:pt>
                <c:pt idx="17">
                  <c:v>0.16331499999796506</c:v>
                </c:pt>
                <c:pt idx="18">
                  <c:v>0.22166499999730149</c:v>
                </c:pt>
                <c:pt idx="19">
                  <c:v>0.16533499999786727</c:v>
                </c:pt>
                <c:pt idx="20">
                  <c:v>0.15901499999745283</c:v>
                </c:pt>
                <c:pt idx="21">
                  <c:v>0.16735500000140746</c:v>
                </c:pt>
                <c:pt idx="22">
                  <c:v>0.11102499999833526</c:v>
                </c:pt>
                <c:pt idx="23">
                  <c:v>0.13937499999883585</c:v>
                </c:pt>
                <c:pt idx="24">
                  <c:v>0.20304499999838299</c:v>
                </c:pt>
                <c:pt idx="25">
                  <c:v>0.17681499999889638</c:v>
                </c:pt>
                <c:pt idx="26">
                  <c:v>0.13452499999766587</c:v>
                </c:pt>
                <c:pt idx="27">
                  <c:v>0.13236999999571708</c:v>
                </c:pt>
                <c:pt idx="28">
                  <c:v>0.15603999999802909</c:v>
                </c:pt>
                <c:pt idx="29">
                  <c:v>0.15388499999971827</c:v>
                </c:pt>
                <c:pt idx="30">
                  <c:v>0.13438999999925727</c:v>
                </c:pt>
                <c:pt idx="31">
                  <c:v>0.15172999999776948</c:v>
                </c:pt>
                <c:pt idx="32">
                  <c:v>0.15374999999767169</c:v>
                </c:pt>
                <c:pt idx="33">
                  <c:v>0.15159499999936088</c:v>
                </c:pt>
                <c:pt idx="35">
                  <c:v>2.3000000510364771E-4</c:v>
                </c:pt>
                <c:pt idx="36">
                  <c:v>4.6229999999923166E-2</c:v>
                </c:pt>
                <c:pt idx="37">
                  <c:v>9.0230000001611188E-2</c:v>
                </c:pt>
                <c:pt idx="38">
                  <c:v>2.592000000004191E-2</c:v>
                </c:pt>
                <c:pt idx="39">
                  <c:v>3.3929999997781124E-2</c:v>
                </c:pt>
                <c:pt idx="40">
                  <c:v>-2.0499999664025381E-4</c:v>
                </c:pt>
                <c:pt idx="41">
                  <c:v>9.4199999948614277E-3</c:v>
                </c:pt>
                <c:pt idx="42">
                  <c:v>-5.0440000006346963E-2</c:v>
                </c:pt>
                <c:pt idx="43">
                  <c:v>-5.3550000011455268E-3</c:v>
                </c:pt>
                <c:pt idx="44">
                  <c:v>-1.2499999997089617E-2</c:v>
                </c:pt>
                <c:pt idx="45">
                  <c:v>-1.0024999995948747E-2</c:v>
                </c:pt>
                <c:pt idx="46">
                  <c:v>0</c:v>
                </c:pt>
                <c:pt idx="47">
                  <c:v>-1.4900000023772009E-3</c:v>
                </c:pt>
                <c:pt idx="48">
                  <c:v>9.5499999588355422E-4</c:v>
                </c:pt>
                <c:pt idx="49">
                  <c:v>3.3149999944726005E-3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EB-4913-9D37-69BF72B0CD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50">
                  <c:v>1.112499999726424E-2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EB-4913-9D37-69BF72B0CD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51">
                  <c:v>1.4644999995653052E-2</c:v>
                </c:pt>
                <c:pt idx="52">
                  <c:v>3.5369999997783452E-2</c:v>
                </c:pt>
                <c:pt idx="53">
                  <c:v>3.5535000002710149E-2</c:v>
                </c:pt>
                <c:pt idx="54">
                  <c:v>4.5729999998002313E-2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EB-4913-9D37-69BF72B0CD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EB-4913-9D37-69BF72B0CD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EB-4913-9D37-69BF72B0CD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EB-4913-9D37-69BF72B0CD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43">
                  <c:v>-0.16701476511267266</c:v>
                </c:pt>
                <c:pt idx="44">
                  <c:v>-0.16152492527922729</c:v>
                </c:pt>
                <c:pt idx="45">
                  <c:v>-4.3351612432528053E-2</c:v>
                </c:pt>
                <c:pt idx="46">
                  <c:v>-1.9768497655051537E-2</c:v>
                </c:pt>
                <c:pt idx="47">
                  <c:v>-5.411712900269712E-4</c:v>
                </c:pt>
                <c:pt idx="48">
                  <c:v>-3.6075401850529237E-4</c:v>
                </c:pt>
                <c:pt idx="49">
                  <c:v>3.6599737468349658E-3</c:v>
                </c:pt>
                <c:pt idx="50">
                  <c:v>1.1031307983292105E-2</c:v>
                </c:pt>
                <c:pt idx="51">
                  <c:v>1.5464418083539058E-2</c:v>
                </c:pt>
                <c:pt idx="52">
                  <c:v>3.4356683801451939E-2</c:v>
                </c:pt>
                <c:pt idx="53">
                  <c:v>3.4897935616016972E-2</c:v>
                </c:pt>
                <c:pt idx="54">
                  <c:v>4.6676606056789388E-2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EB-4913-9D37-69BF72B0CD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34">
                  <c:v>-0.51133750000008149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EB-4913-9D37-69BF72B0CD22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Active!$V$2:$V$41</c:f>
              <c:numCache>
                <c:formatCode>General</c:formatCode>
                <c:ptCount val="40"/>
                <c:pt idx="0">
                  <c:v>-12000</c:v>
                </c:pt>
                <c:pt idx="1">
                  <c:v>-11000</c:v>
                </c:pt>
                <c:pt idx="2">
                  <c:v>-10000</c:v>
                </c:pt>
                <c:pt idx="3">
                  <c:v>-9000</c:v>
                </c:pt>
                <c:pt idx="4">
                  <c:v>-8000</c:v>
                </c:pt>
                <c:pt idx="5">
                  <c:v>-7000</c:v>
                </c:pt>
                <c:pt idx="6">
                  <c:v>-6000</c:v>
                </c:pt>
                <c:pt idx="7">
                  <c:v>-5000</c:v>
                </c:pt>
                <c:pt idx="8">
                  <c:v>-4000</c:v>
                </c:pt>
                <c:pt idx="9">
                  <c:v>-3000</c:v>
                </c:pt>
                <c:pt idx="10">
                  <c:v>-2000</c:v>
                </c:pt>
                <c:pt idx="11">
                  <c:v>-1000</c:v>
                </c:pt>
                <c:pt idx="12">
                  <c:v>0</c:v>
                </c:pt>
                <c:pt idx="13">
                  <c:v>1000</c:v>
                </c:pt>
                <c:pt idx="14">
                  <c:v>2000</c:v>
                </c:pt>
                <c:pt idx="15">
                  <c:v>3000</c:v>
                </c:pt>
                <c:pt idx="16">
                  <c:v>4000</c:v>
                </c:pt>
              </c:numCache>
            </c:numRef>
          </c:xVal>
          <c:yVal>
            <c:numRef>
              <c:f>Active!$W$2:$W$41</c:f>
              <c:numCache>
                <c:formatCode>General</c:formatCode>
                <c:ptCount val="40"/>
                <c:pt idx="0">
                  <c:v>0.34807042082701778</c:v>
                </c:pt>
                <c:pt idx="1">
                  <c:v>0.27473399152709155</c:v>
                </c:pt>
                <c:pt idx="2">
                  <c:v>0.20922178160081356</c:v>
                </c:pt>
                <c:pt idx="3">
                  <c:v>0.15153379104818387</c:v>
                </c:pt>
                <c:pt idx="4">
                  <c:v>0.10167001986920252</c:v>
                </c:pt>
                <c:pt idx="5">
                  <c:v>5.9630468063869541E-2</c:v>
                </c:pt>
                <c:pt idx="6">
                  <c:v>2.5415135632184838E-2</c:v>
                </c:pt>
                <c:pt idx="7">
                  <c:v>-9.7597742585150971E-4</c:v>
                </c:pt>
                <c:pt idx="8">
                  <c:v>-1.9542871110239557E-2</c:v>
                </c:pt>
                <c:pt idx="9">
                  <c:v>-3.0285545420979276E-2</c:v>
                </c:pt>
                <c:pt idx="10">
                  <c:v>-3.3204000358070654E-2</c:v>
                </c:pt>
                <c:pt idx="11">
                  <c:v>-2.8298235921513717E-2</c:v>
                </c:pt>
                <c:pt idx="12">
                  <c:v>-1.5568252111308455E-2</c:v>
                </c:pt>
                <c:pt idx="13">
                  <c:v>4.985951072545132E-3</c:v>
                </c:pt>
                <c:pt idx="14">
                  <c:v>3.3364373630047045E-2</c:v>
                </c:pt>
                <c:pt idx="15">
                  <c:v>6.9567015561197293E-2</c:v>
                </c:pt>
                <c:pt idx="16">
                  <c:v>0.11359387686599584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8EB-4913-9D37-69BF72B0C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017544"/>
        <c:axId val="1"/>
      </c:scatterChart>
      <c:valAx>
        <c:axId val="699017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017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216247743806797"/>
          <c:y val="0.92419947506561673"/>
          <c:w val="0.96546688420704174"/>
          <c:h val="0.982508512966491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BW Del - O-C Diagr.</a:t>
            </a:r>
          </a:p>
        </c:rich>
      </c:tx>
      <c:layout>
        <c:manualLayout>
          <c:xMode val="edge"/>
          <c:yMode val="edge"/>
          <c:x val="0.38680691150487745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3787220491723"/>
          <c:y val="0.13953488372093023"/>
          <c:w val="0.82608756126396854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21-4C02-A741-0B5D93C94EC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0.37146500000017113</c:v>
                </c:pt>
                <c:pt idx="1">
                  <c:v>0.26563999999780208</c:v>
                </c:pt>
                <c:pt idx="2">
                  <c:v>0.31270999999833293</c:v>
                </c:pt>
                <c:pt idx="3">
                  <c:v>0.15688500000032946</c:v>
                </c:pt>
                <c:pt idx="4">
                  <c:v>0.2875899999999092</c:v>
                </c:pt>
                <c:pt idx="5">
                  <c:v>0.15491999999721884</c:v>
                </c:pt>
                <c:pt idx="6">
                  <c:v>0.19276499999614316</c:v>
                </c:pt>
                <c:pt idx="7">
                  <c:v>0.24845499999719323</c:v>
                </c:pt>
                <c:pt idx="8">
                  <c:v>0.19993500000055064</c:v>
                </c:pt>
                <c:pt idx="9">
                  <c:v>8.9800000001559965E-2</c:v>
                </c:pt>
                <c:pt idx="10">
                  <c:v>0.17117999999754829</c:v>
                </c:pt>
                <c:pt idx="11">
                  <c:v>0.22952499999883003</c:v>
                </c:pt>
                <c:pt idx="12">
                  <c:v>0.2099049999997078</c:v>
                </c:pt>
                <c:pt idx="13">
                  <c:v>0.14901000000099884</c:v>
                </c:pt>
                <c:pt idx="14">
                  <c:v>0.14526999999725376</c:v>
                </c:pt>
                <c:pt idx="15">
                  <c:v>0.18893999999636435</c:v>
                </c:pt>
                <c:pt idx="16">
                  <c:v>0.1894449999963399</c:v>
                </c:pt>
                <c:pt idx="17">
                  <c:v>0.16331499999796506</c:v>
                </c:pt>
                <c:pt idx="18">
                  <c:v>0.22166499999730149</c:v>
                </c:pt>
                <c:pt idx="19">
                  <c:v>0.16533499999786727</c:v>
                </c:pt>
                <c:pt idx="20">
                  <c:v>0.15901499999745283</c:v>
                </c:pt>
                <c:pt idx="21">
                  <c:v>0.16735500000140746</c:v>
                </c:pt>
                <c:pt idx="22">
                  <c:v>0.11102499999833526</c:v>
                </c:pt>
                <c:pt idx="23">
                  <c:v>0.13937499999883585</c:v>
                </c:pt>
                <c:pt idx="24">
                  <c:v>0.20304499999838299</c:v>
                </c:pt>
                <c:pt idx="25">
                  <c:v>0.17681499999889638</c:v>
                </c:pt>
                <c:pt idx="26">
                  <c:v>0.13452499999766587</c:v>
                </c:pt>
                <c:pt idx="27">
                  <c:v>0.13236999999571708</c:v>
                </c:pt>
                <c:pt idx="28">
                  <c:v>0.15603999999802909</c:v>
                </c:pt>
                <c:pt idx="29">
                  <c:v>0.15388499999971827</c:v>
                </c:pt>
                <c:pt idx="30">
                  <c:v>0.13438999999925727</c:v>
                </c:pt>
                <c:pt idx="31">
                  <c:v>0.15172999999776948</c:v>
                </c:pt>
                <c:pt idx="32">
                  <c:v>0.15374999999767169</c:v>
                </c:pt>
                <c:pt idx="33">
                  <c:v>0.15159499999936088</c:v>
                </c:pt>
                <c:pt idx="35">
                  <c:v>2.3000000510364771E-4</c:v>
                </c:pt>
                <c:pt idx="36">
                  <c:v>4.6229999999923166E-2</c:v>
                </c:pt>
                <c:pt idx="37">
                  <c:v>9.0230000001611188E-2</c:v>
                </c:pt>
                <c:pt idx="38">
                  <c:v>2.592000000004191E-2</c:v>
                </c:pt>
                <c:pt idx="39">
                  <c:v>3.3929999997781124E-2</c:v>
                </c:pt>
                <c:pt idx="40">
                  <c:v>-2.0499999664025381E-4</c:v>
                </c:pt>
                <c:pt idx="41">
                  <c:v>9.4199999948614277E-3</c:v>
                </c:pt>
                <c:pt idx="42">
                  <c:v>-5.0440000006346963E-2</c:v>
                </c:pt>
                <c:pt idx="43">
                  <c:v>-5.3550000011455268E-3</c:v>
                </c:pt>
                <c:pt idx="44">
                  <c:v>-1.2499999997089617E-2</c:v>
                </c:pt>
                <c:pt idx="45">
                  <c:v>-1.0024999995948747E-2</c:v>
                </c:pt>
                <c:pt idx="46">
                  <c:v>0</c:v>
                </c:pt>
                <c:pt idx="47">
                  <c:v>-1.4900000023772009E-3</c:v>
                </c:pt>
                <c:pt idx="48">
                  <c:v>9.5499999588355422E-4</c:v>
                </c:pt>
                <c:pt idx="49">
                  <c:v>3.3149999944726005E-3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21-4C02-A741-0B5D93C94EC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50">
                  <c:v>1.112499999726424E-2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21-4C02-A741-0B5D93C94EC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51">
                  <c:v>1.4644999995653052E-2</c:v>
                </c:pt>
                <c:pt idx="52">
                  <c:v>3.5369999997783452E-2</c:v>
                </c:pt>
                <c:pt idx="53">
                  <c:v>3.5535000002710149E-2</c:v>
                </c:pt>
                <c:pt idx="54">
                  <c:v>4.5729999998002313E-2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21-4C02-A741-0B5D93C94EC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21-4C02-A741-0B5D93C94EC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21-4C02-A741-0B5D93C94EC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3.0000000000000001E-3</c:v>
                  </c:pt>
                  <c:pt idx="51">
                    <c:v>2.9999999999999997E-4</c:v>
                  </c:pt>
                  <c:pt idx="52">
                    <c:v>1E-4</c:v>
                  </c:pt>
                  <c:pt idx="53">
                    <c:v>1E-4</c:v>
                  </c:pt>
                  <c:pt idx="5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21-4C02-A741-0B5D93C94EC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43">
                  <c:v>-0.16701476511267266</c:v>
                </c:pt>
                <c:pt idx="44">
                  <c:v>-0.16152492527922729</c:v>
                </c:pt>
                <c:pt idx="45">
                  <c:v>-4.3351612432528053E-2</c:v>
                </c:pt>
                <c:pt idx="46">
                  <c:v>-1.9768497655051537E-2</c:v>
                </c:pt>
                <c:pt idx="47">
                  <c:v>-5.411712900269712E-4</c:v>
                </c:pt>
                <c:pt idx="48">
                  <c:v>-3.6075401850529237E-4</c:v>
                </c:pt>
                <c:pt idx="49">
                  <c:v>3.6599737468349658E-3</c:v>
                </c:pt>
                <c:pt idx="50">
                  <c:v>1.1031307983292105E-2</c:v>
                </c:pt>
                <c:pt idx="51">
                  <c:v>1.5464418083539058E-2</c:v>
                </c:pt>
                <c:pt idx="52">
                  <c:v>3.4356683801451939E-2</c:v>
                </c:pt>
                <c:pt idx="53">
                  <c:v>3.4897935616016972E-2</c:v>
                </c:pt>
                <c:pt idx="54">
                  <c:v>4.6676606056789388E-2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21-4C02-A741-0B5D93C94EC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Active!$F$21:$F$300</c:f>
              <c:numCache>
                <c:formatCode>General</c:formatCode>
                <c:ptCount val="280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Active!$U$21:$U$300</c:f>
              <c:numCache>
                <c:formatCode>General</c:formatCode>
                <c:ptCount val="280"/>
                <c:pt idx="34">
                  <c:v>-0.51133750000008149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621-4C02-A741-0B5D93C94ECA}"/>
            </c:ext>
          </c:extLst>
        </c:ser>
        <c:ser>
          <c:idx val="9"/>
          <c:order val="9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-11021</c:v>
                </c:pt>
                <c:pt idx="1">
                  <c:v>-11016</c:v>
                </c:pt>
                <c:pt idx="2">
                  <c:v>-10974</c:v>
                </c:pt>
                <c:pt idx="3">
                  <c:v>-10969</c:v>
                </c:pt>
                <c:pt idx="4">
                  <c:v>-10846</c:v>
                </c:pt>
                <c:pt idx="5">
                  <c:v>-10248</c:v>
                </c:pt>
                <c:pt idx="6">
                  <c:v>-10241</c:v>
                </c:pt>
                <c:pt idx="7">
                  <c:v>-10227</c:v>
                </c:pt>
                <c:pt idx="8">
                  <c:v>-10139</c:v>
                </c:pt>
                <c:pt idx="9">
                  <c:v>-10120</c:v>
                </c:pt>
                <c:pt idx="10">
                  <c:v>-10092</c:v>
                </c:pt>
                <c:pt idx="11">
                  <c:v>-9785</c:v>
                </c:pt>
                <c:pt idx="12">
                  <c:v>-9757</c:v>
                </c:pt>
                <c:pt idx="13">
                  <c:v>-9194</c:v>
                </c:pt>
                <c:pt idx="14">
                  <c:v>-9038</c:v>
                </c:pt>
                <c:pt idx="15">
                  <c:v>-9036</c:v>
                </c:pt>
                <c:pt idx="16">
                  <c:v>-9033</c:v>
                </c:pt>
                <c:pt idx="17">
                  <c:v>-8911</c:v>
                </c:pt>
                <c:pt idx="18">
                  <c:v>-8901</c:v>
                </c:pt>
                <c:pt idx="19">
                  <c:v>-8899</c:v>
                </c:pt>
                <c:pt idx="20">
                  <c:v>-8891</c:v>
                </c:pt>
                <c:pt idx="21">
                  <c:v>-8887</c:v>
                </c:pt>
                <c:pt idx="22">
                  <c:v>-8885</c:v>
                </c:pt>
                <c:pt idx="23">
                  <c:v>-8875</c:v>
                </c:pt>
                <c:pt idx="24">
                  <c:v>-8873</c:v>
                </c:pt>
                <c:pt idx="25">
                  <c:v>-8811</c:v>
                </c:pt>
                <c:pt idx="26">
                  <c:v>-8785</c:v>
                </c:pt>
                <c:pt idx="27">
                  <c:v>-8778</c:v>
                </c:pt>
                <c:pt idx="28">
                  <c:v>-8776</c:v>
                </c:pt>
                <c:pt idx="29">
                  <c:v>-8769</c:v>
                </c:pt>
                <c:pt idx="30">
                  <c:v>-8766</c:v>
                </c:pt>
                <c:pt idx="31">
                  <c:v>-8762</c:v>
                </c:pt>
                <c:pt idx="32">
                  <c:v>-8750</c:v>
                </c:pt>
                <c:pt idx="33">
                  <c:v>-8743</c:v>
                </c:pt>
                <c:pt idx="34">
                  <c:v>-8552.5</c:v>
                </c:pt>
                <c:pt idx="35">
                  <c:v>-6462</c:v>
                </c:pt>
                <c:pt idx="36">
                  <c:v>-6462</c:v>
                </c:pt>
                <c:pt idx="37">
                  <c:v>-6462</c:v>
                </c:pt>
                <c:pt idx="38">
                  <c:v>-6448</c:v>
                </c:pt>
                <c:pt idx="39">
                  <c:v>-6242</c:v>
                </c:pt>
                <c:pt idx="40">
                  <c:v>-6023</c:v>
                </c:pt>
                <c:pt idx="41">
                  <c:v>-5948</c:v>
                </c:pt>
                <c:pt idx="42">
                  <c:v>-5864</c:v>
                </c:pt>
                <c:pt idx="43">
                  <c:v>-5713</c:v>
                </c:pt>
                <c:pt idx="44">
                  <c:v>-5500</c:v>
                </c:pt>
                <c:pt idx="45">
                  <c:v>-915</c:v>
                </c:pt>
                <c:pt idx="46">
                  <c:v>0</c:v>
                </c:pt>
                <c:pt idx="47">
                  <c:v>746</c:v>
                </c:pt>
                <c:pt idx="48">
                  <c:v>753</c:v>
                </c:pt>
                <c:pt idx="49">
                  <c:v>909</c:v>
                </c:pt>
                <c:pt idx="50">
                  <c:v>1195</c:v>
                </c:pt>
                <c:pt idx="51">
                  <c:v>1367</c:v>
                </c:pt>
                <c:pt idx="52">
                  <c:v>2100</c:v>
                </c:pt>
                <c:pt idx="53">
                  <c:v>2121</c:v>
                </c:pt>
                <c:pt idx="54">
                  <c:v>2578</c:v>
                </c:pt>
              </c:numCache>
            </c:numRef>
          </c:xVal>
          <c:yVal>
            <c:numRef>
              <c:f>Active!$P$21:$P$982</c:f>
              <c:numCache>
                <c:formatCode>General</c:formatCode>
                <c:ptCount val="962"/>
                <c:pt idx="0">
                  <c:v>0.27619362747933857</c:v>
                </c:pt>
                <c:pt idx="1">
                  <c:v>0.27584578214098099</c:v>
                </c:pt>
                <c:pt idx="2">
                  <c:v>0.27293160380329917</c:v>
                </c:pt>
                <c:pt idx="3">
                  <c:v>0.27258559715649444</c:v>
                </c:pt>
                <c:pt idx="4">
                  <c:v>0.26413542590000649</c:v>
                </c:pt>
                <c:pt idx="5">
                  <c:v>0.22473921685437651</c:v>
                </c:pt>
                <c:pt idx="6">
                  <c:v>0.22429462500124234</c:v>
                </c:pt>
                <c:pt idx="7">
                  <c:v>0.2234065914552219</c:v>
                </c:pt>
                <c:pt idx="8">
                  <c:v>0.21785978140535672</c:v>
                </c:pt>
                <c:pt idx="9">
                  <c:v>0.21667012800903826</c:v>
                </c:pt>
                <c:pt idx="10">
                  <c:v>0.21492210291923258</c:v>
                </c:pt>
                <c:pt idx="11">
                  <c:v>0.19615859731960442</c:v>
                </c:pt>
                <c:pt idx="12">
                  <c:v>0.19448396340752355</c:v>
                </c:pt>
                <c:pt idx="13">
                  <c:v>0.16211354809632347</c:v>
                </c:pt>
                <c:pt idx="14">
                  <c:v>0.15358292360747228</c:v>
                </c:pt>
                <c:pt idx="15">
                  <c:v>0.15347479285350701</c:v>
                </c:pt>
                <c:pt idx="16">
                  <c:v>0.15331265540420438</c:v>
                </c:pt>
                <c:pt idx="17">
                  <c:v>0.1467787254719565</c:v>
                </c:pt>
                <c:pt idx="18">
                  <c:v>0.14624832142950972</c:v>
                </c:pt>
                <c:pt idx="19">
                  <c:v>0.14614233451165282</c:v>
                </c:pt>
                <c:pt idx="20">
                  <c:v>0.14571869980900024</c:v>
                </c:pt>
                <c:pt idx="21">
                  <c:v>0.14550707023893891</c:v>
                </c:pt>
                <c:pt idx="22">
                  <c:v>0.14540130239922447</c:v>
                </c:pt>
                <c:pt idx="23">
                  <c:v>0.14487293265381479</c:v>
                </c:pt>
                <c:pt idx="24">
                  <c:v>0.14476735259536533</c:v>
                </c:pt>
                <c:pt idx="25">
                  <c:v>0.14150989403466968</c:v>
                </c:pt>
                <c:pt idx="26">
                  <c:v>0.14015281393230913</c:v>
                </c:pt>
                <c:pt idx="27">
                  <c:v>0.13978834990978051</c:v>
                </c:pt>
                <c:pt idx="28">
                  <c:v>0.1396842877498895</c:v>
                </c:pt>
                <c:pt idx="29">
                  <c:v>0.13932031665318145</c:v>
                </c:pt>
                <c:pt idx="30">
                  <c:v>0.13916444640359713</c:v>
                </c:pt>
                <c:pt idx="31">
                  <c:v>0.13895672894322264</c:v>
                </c:pt>
                <c:pt idx="32">
                  <c:v>0.138334327687159</c:v>
                </c:pt>
                <c:pt idx="33">
                  <c:v>0.13797178059837692</c:v>
                </c:pt>
                <c:pt idx="34">
                  <c:v>0.12825250877620797</c:v>
                </c:pt>
                <c:pt idx="35">
                  <c:v>4.0250240880304905E-2</c:v>
                </c:pt>
                <c:pt idx="36">
                  <c:v>4.0250240880304905E-2</c:v>
                </c:pt>
                <c:pt idx="37">
                  <c:v>4.0250240880304905E-2</c:v>
                </c:pt>
                <c:pt idx="38">
                  <c:v>3.9776155484466738E-2</c:v>
                </c:pt>
                <c:pt idx="39">
                  <c:v>3.2977624328140262E-2</c:v>
                </c:pt>
                <c:pt idx="40">
                  <c:v>2.6114179261340964E-2</c:v>
                </c:pt>
                <c:pt idx="41">
                  <c:v>2.3849946394045279E-2</c:v>
                </c:pt>
                <c:pt idx="42">
                  <c:v>2.1366255719651311E-2</c:v>
                </c:pt>
                <c:pt idx="43">
                  <c:v>1.7040347267203909E-2</c:v>
                </c:pt>
                <c:pt idx="44">
                  <c:v>1.1241551681460626E-2</c:v>
                </c:pt>
                <c:pt idx="45">
                  <c:v>-2.7520451628539021E-2</c:v>
                </c:pt>
                <c:pt idx="46">
                  <c:v>-1.5568252111308455E-2</c:v>
                </c:pt>
                <c:pt idx="47">
                  <c:v>-9.7609872805186782E-4</c:v>
                </c:pt>
                <c:pt idx="48">
                  <c:v>-8.185543066288165E-4</c:v>
                </c:pt>
                <c:pt idx="49">
                  <c:v>2.7919127816300481E-3</c:v>
                </c:pt>
                <c:pt idx="50">
                  <c:v>9.9056400531687839E-3</c:v>
                </c:pt>
                <c:pt idx="51">
                  <c:v>1.4492006037692524E-2</c:v>
                </c:pt>
                <c:pt idx="52">
                  <c:v>3.6632547951347891E-2</c:v>
                </c:pt>
                <c:pt idx="53">
                  <c:v>3.7328805229535293E-2</c:v>
                </c:pt>
                <c:pt idx="54">
                  <c:v>5.3335274519880481E-2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621-4C02-A741-0B5D93C94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016464"/>
        <c:axId val="1"/>
      </c:scatterChart>
      <c:valAx>
        <c:axId val="699016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409444883857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75262368815595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016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92053973013492"/>
          <c:y val="0.92441860465116277"/>
          <c:w val="0.80209895052473756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628650</xdr:colOff>
      <xdr:row>18</xdr:row>
      <xdr:rowOff>161925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CBDAFAAB-15C4-C7E7-7404-1A885E9FA8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21</xdr:row>
      <xdr:rowOff>47625</xdr:rowOff>
    </xdr:from>
    <xdr:to>
      <xdr:col>18</xdr:col>
      <xdr:colOff>419100</xdr:colOff>
      <xdr:row>41</xdr:row>
      <xdr:rowOff>76200</xdr:rowOff>
    </xdr:to>
    <xdr:graphicFrame macro="">
      <xdr:nvGraphicFramePr>
        <xdr:cNvPr id="1035" name="Chart 2">
          <a:extLst>
            <a:ext uri="{FF2B5EF4-FFF2-40B4-BE49-F238E27FC236}">
              <a16:creationId xmlns:a16="http://schemas.microsoft.com/office/drawing/2014/main" id="{5B5802B5-BE51-047A-A50D-10C2931F2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142875</xdr:colOff>
      <xdr:row>0</xdr:row>
      <xdr:rowOff>19050</xdr:rowOff>
    </xdr:from>
    <xdr:to>
      <xdr:col>27</xdr:col>
      <xdr:colOff>323850</xdr:colOff>
      <xdr:row>19</xdr:row>
      <xdr:rowOff>19050</xdr:rowOff>
    </xdr:to>
    <xdr:graphicFrame macro="">
      <xdr:nvGraphicFramePr>
        <xdr:cNvPr id="1036" name="Chart 3">
          <a:extLst>
            <a:ext uri="{FF2B5EF4-FFF2-40B4-BE49-F238E27FC236}">
              <a16:creationId xmlns:a16="http://schemas.microsoft.com/office/drawing/2014/main" id="{CF10FCD7-D21F-671A-B38F-4152FB163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93" TargetMode="External"/><Relationship Id="rId2" Type="http://schemas.openxmlformats.org/officeDocument/2006/relationships/hyperlink" Target="http://www.bav-astro.de/sfs/BAVM_link.php?BAVMnr=193" TargetMode="External"/><Relationship Id="rId1" Type="http://schemas.openxmlformats.org/officeDocument/2006/relationships/hyperlink" Target="http://www.konkoly.hu/cgi-bin/IBVS?35" TargetMode="External"/><Relationship Id="rId6" Type="http://schemas.openxmlformats.org/officeDocument/2006/relationships/hyperlink" Target="http://www.konkoly.hu/cgi-bin/IBVS?6005" TargetMode="External"/><Relationship Id="rId5" Type="http://schemas.openxmlformats.org/officeDocument/2006/relationships/hyperlink" Target="http://www.bav-astro.de/sfs/BAVM_link.php?BAVMnr=215" TargetMode="External"/><Relationship Id="rId4" Type="http://schemas.openxmlformats.org/officeDocument/2006/relationships/hyperlink" Target="http://www.bav-astro.de/sfs/BAVM_link.php?BAVMnr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23"/>
  <sheetViews>
    <sheetView tabSelected="1" workbookViewId="0">
      <pane xSplit="14" ySplit="21" topLeftCell="O63" activePane="bottomRight" state="frozen"/>
      <selection pane="topRight" activeCell="O1" sqref="O1"/>
      <selection pane="bottomLeft" activeCell="A22" sqref="A22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42</v>
      </c>
      <c r="V1" s="4" t="s">
        <v>15</v>
      </c>
      <c r="W1" s="6" t="s">
        <v>26</v>
      </c>
    </row>
    <row r="2" spans="1:23" x14ac:dyDescent="0.2">
      <c r="A2" t="s">
        <v>28</v>
      </c>
      <c r="B2" s="3" t="s">
        <v>43</v>
      </c>
      <c r="C2" s="52" t="s">
        <v>229</v>
      </c>
      <c r="D2" s="3"/>
      <c r="V2" s="66">
        <v>-12000</v>
      </c>
      <c r="W2" s="66">
        <f>+D$11+D$12*V2+D$13*V2^2</f>
        <v>0.34807042082701778</v>
      </c>
    </row>
    <row r="3" spans="1:23" ht="13.5" thickBot="1" x14ac:dyDescent="0.25">
      <c r="C3" s="73" t="s">
        <v>6</v>
      </c>
      <c r="V3" s="66">
        <v>-11000</v>
      </c>
      <c r="W3" s="66">
        <f>+D$11+D$12*V3+D$13*V3^2</f>
        <v>0.27473399152709155</v>
      </c>
    </row>
    <row r="4" spans="1:23" ht="14.25" thickTop="1" thickBot="1" x14ac:dyDescent="0.25">
      <c r="A4" s="5" t="s">
        <v>41</v>
      </c>
      <c r="C4" s="8">
        <v>52500.83</v>
      </c>
      <c r="D4" s="9">
        <v>2.423165</v>
      </c>
      <c r="V4" s="66">
        <v>-10000</v>
      </c>
      <c r="W4" s="66">
        <f t="shared" ref="W4:W18" si="0">+D$11+D$12*V4+D$13*V4^2</f>
        <v>0.20922178160081356</v>
      </c>
    </row>
    <row r="5" spans="1:23" ht="13.5" thickTop="1" x14ac:dyDescent="0.2">
      <c r="A5" s="11" t="s">
        <v>33</v>
      </c>
      <c r="B5" s="49"/>
      <c r="C5" s="13">
        <v>-9.5</v>
      </c>
      <c r="D5" s="12" t="s">
        <v>34</v>
      </c>
      <c r="V5" s="66">
        <v>-9000</v>
      </c>
      <c r="W5" s="66">
        <f t="shared" si="0"/>
        <v>0.15153379104818387</v>
      </c>
    </row>
    <row r="6" spans="1:23" x14ac:dyDescent="0.2">
      <c r="A6" s="5" t="s">
        <v>7</v>
      </c>
      <c r="V6" s="66">
        <v>-8000</v>
      </c>
      <c r="W6" s="66">
        <f t="shared" si="0"/>
        <v>0.10167001986920252</v>
      </c>
    </row>
    <row r="7" spans="1:23" x14ac:dyDescent="0.2">
      <c r="A7" t="s">
        <v>8</v>
      </c>
      <c r="C7">
        <f>C4</f>
        <v>52500.83</v>
      </c>
      <c r="V7" s="66">
        <v>-7000</v>
      </c>
      <c r="W7" s="66">
        <f t="shared" si="0"/>
        <v>5.9630468063869541E-2</v>
      </c>
    </row>
    <row r="8" spans="1:23" x14ac:dyDescent="0.2">
      <c r="A8" t="s">
        <v>9</v>
      </c>
      <c r="C8">
        <f>D4</f>
        <v>2.423165</v>
      </c>
      <c r="D8" s="27"/>
      <c r="V8" s="66">
        <v>-6000</v>
      </c>
      <c r="W8" s="66">
        <f t="shared" si="0"/>
        <v>2.5415135632184838E-2</v>
      </c>
    </row>
    <row r="9" spans="1:23" x14ac:dyDescent="0.2">
      <c r="A9" s="24" t="s">
        <v>38</v>
      </c>
      <c r="B9" s="25">
        <v>68</v>
      </c>
      <c r="C9" s="22" t="str">
        <f>"F"&amp;B9</f>
        <v>F68</v>
      </c>
      <c r="D9" s="23" t="str">
        <f>"G"&amp;B9</f>
        <v>G68</v>
      </c>
      <c r="V9" s="66">
        <v>-5000</v>
      </c>
      <c r="W9" s="66">
        <f t="shared" si="0"/>
        <v>-9.7597742585150971E-4</v>
      </c>
    </row>
    <row r="10" spans="1:23" ht="13.5" thickBot="1" x14ac:dyDescent="0.25">
      <c r="A10" s="12"/>
      <c r="B10" s="49"/>
      <c r="C10" s="4" t="s">
        <v>24</v>
      </c>
      <c r="D10" s="4" t="s">
        <v>25</v>
      </c>
      <c r="E10" s="12"/>
      <c r="V10" s="66">
        <v>-4000</v>
      </c>
      <c r="W10" s="66">
        <f t="shared" si="0"/>
        <v>-1.9542871110239557E-2</v>
      </c>
    </row>
    <row r="11" spans="1:23" x14ac:dyDescent="0.2">
      <c r="A11" s="12" t="s">
        <v>20</v>
      </c>
      <c r="B11" s="49"/>
      <c r="C11" s="21">
        <f ca="1">INTERCEPT(INDIRECT($D$9):G992,INDIRECT($C$9):F992)</f>
        <v>-1.9768497655051537E-2</v>
      </c>
      <c r="D11" s="3">
        <f>+E11*F11</f>
        <v>-1.5568252111308455E-2</v>
      </c>
      <c r="E11" s="57">
        <v>-1.5568252111308455E-2</v>
      </c>
      <c r="F11">
        <v>1</v>
      </c>
      <c r="V11" s="66">
        <v>-3000</v>
      </c>
      <c r="W11" s="66">
        <f t="shared" si="0"/>
        <v>-3.0285545420979276E-2</v>
      </c>
    </row>
    <row r="12" spans="1:23" x14ac:dyDescent="0.2">
      <c r="A12" s="12" t="s">
        <v>21</v>
      </c>
      <c r="B12" s="49"/>
      <c r="C12" s="21">
        <f ca="1">SLOPE(INDIRECT($D$9):G992,INDIRECT($C$9):F992)</f>
        <v>2.577389593166832E-5</v>
      </c>
      <c r="D12" s="3">
        <f>+E12*F12</f>
        <v>1.6642093497029425E-5</v>
      </c>
      <c r="E12" s="58">
        <v>0.16642093497029425</v>
      </c>
      <c r="F12" s="59">
        <v>1E-4</v>
      </c>
      <c r="V12" s="66">
        <v>-2000</v>
      </c>
      <c r="W12" s="66">
        <f t="shared" si="0"/>
        <v>-3.3204000358070654E-2</v>
      </c>
    </row>
    <row r="13" spans="1:23" ht="13.5" thickBot="1" x14ac:dyDescent="0.25">
      <c r="A13" s="12" t="s">
        <v>23</v>
      </c>
      <c r="B13" s="49"/>
      <c r="C13" s="3" t="s">
        <v>18</v>
      </c>
      <c r="D13" s="3">
        <f>+E13*F13</f>
        <v>3.9121096868241626E-9</v>
      </c>
      <c r="E13" s="60">
        <v>0.39121096868241623</v>
      </c>
      <c r="F13" s="59">
        <v>1E-8</v>
      </c>
      <c r="V13" s="66">
        <v>-1000</v>
      </c>
      <c r="W13" s="66">
        <f t="shared" si="0"/>
        <v>-2.8298235921513717E-2</v>
      </c>
    </row>
    <row r="14" spans="1:23" x14ac:dyDescent="0.2">
      <c r="A14" s="12"/>
      <c r="B14" s="49"/>
      <c r="C14" s="12"/>
      <c r="E14">
        <f>SUM(T21:T950)</f>
        <v>8.0373351545786793E-3</v>
      </c>
      <c r="V14" s="66">
        <v>0</v>
      </c>
      <c r="W14" s="66">
        <f t="shared" si="0"/>
        <v>-1.5568252111308455E-2</v>
      </c>
    </row>
    <row r="15" spans="1:23" x14ac:dyDescent="0.2">
      <c r="A15" s="14" t="s">
        <v>22</v>
      </c>
      <c r="B15" s="49"/>
      <c r="C15" s="15">
        <f ca="1">(C7+C11)+(C8+C12)*INT(MAX(F21:F3533))</f>
        <v>58747.796046606061</v>
      </c>
      <c r="D15" s="23">
        <f>+C7+INT(MAX(F21:F1588))*C8+D11+D12*INT(MAX(F21:F4023))+D13*INT(MAX(F21:F4050)^2)</f>
        <v>58747.802705274524</v>
      </c>
      <c r="E15" s="16" t="s">
        <v>45</v>
      </c>
      <c r="F15" s="13">
        <v>1</v>
      </c>
      <c r="V15" s="66">
        <v>1000</v>
      </c>
      <c r="W15" s="66">
        <f t="shared" si="0"/>
        <v>4.985951072545132E-3</v>
      </c>
    </row>
    <row r="16" spans="1:23" x14ac:dyDescent="0.2">
      <c r="A16" s="18" t="s">
        <v>10</v>
      </c>
      <c r="B16" s="49"/>
      <c r="C16" s="19">
        <f ca="1">+C8+C12</f>
        <v>2.4231907738959317</v>
      </c>
      <c r="D16" s="23">
        <f>+C8+D12+2*D13*MAX(F21:F896)</f>
        <v>2.4232018129310422</v>
      </c>
      <c r="E16" s="16" t="s">
        <v>35</v>
      </c>
      <c r="F16" s="17">
        <f ca="1">NOW()+15018.5+$C$5/24</f>
        <v>60346.760493171292</v>
      </c>
      <c r="V16" s="66">
        <v>2000</v>
      </c>
      <c r="W16" s="66">
        <f t="shared" si="0"/>
        <v>3.3364373630047045E-2</v>
      </c>
    </row>
    <row r="17" spans="1:23" ht="13.5" thickBot="1" x14ac:dyDescent="0.25">
      <c r="A17" s="16" t="s">
        <v>32</v>
      </c>
      <c r="B17" s="49"/>
      <c r="C17" s="12">
        <f>COUNT(C21:C2191)</f>
        <v>55</v>
      </c>
      <c r="E17" s="16" t="s">
        <v>46</v>
      </c>
      <c r="F17" s="17">
        <f ca="1">ROUND(2*(F16-$C$7)/$C$8,0)/2+F15</f>
        <v>3239</v>
      </c>
      <c r="V17" s="66">
        <v>3000</v>
      </c>
      <c r="W17" s="66">
        <f t="shared" si="0"/>
        <v>6.9567015561197293E-2</v>
      </c>
    </row>
    <row r="18" spans="1:23" ht="14.25" thickTop="1" thickBot="1" x14ac:dyDescent="0.25">
      <c r="A18" s="5" t="s">
        <v>4</v>
      </c>
      <c r="B18"/>
      <c r="C18" s="69">
        <f ca="1">+C15</f>
        <v>58747.796046606061</v>
      </c>
      <c r="D18" s="70">
        <f ca="1">C16</f>
        <v>2.4231907738959317</v>
      </c>
      <c r="E18" s="16" t="s">
        <v>36</v>
      </c>
      <c r="F18" s="23">
        <f ca="1">ROUND(2*(F16-$C$15)/$C$16,0)/2+F15</f>
        <v>661</v>
      </c>
      <c r="V18" s="66">
        <v>4000</v>
      </c>
      <c r="W18" s="66">
        <f t="shared" si="0"/>
        <v>0.11359387686599584</v>
      </c>
    </row>
    <row r="19" spans="1:23" ht="13.5" thickBot="1" x14ac:dyDescent="0.25">
      <c r="A19" s="5" t="s">
        <v>5</v>
      </c>
      <c r="B19"/>
      <c r="C19" s="71">
        <f>+D15</f>
        <v>58747.802705274524</v>
      </c>
      <c r="D19" s="72">
        <f>+D16</f>
        <v>2.4232018129310422</v>
      </c>
      <c r="E19" s="16" t="s">
        <v>37</v>
      </c>
      <c r="F19" s="20">
        <f ca="1">+$C$15+$C$16*F18-15018.5-$C$5/24</f>
        <v>45331.420981484611</v>
      </c>
      <c r="V19" s="66"/>
      <c r="W19" s="66"/>
    </row>
    <row r="20" spans="1:23" ht="1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56</v>
      </c>
      <c r="I20" s="7" t="s">
        <v>59</v>
      </c>
      <c r="J20" s="7" t="s">
        <v>53</v>
      </c>
      <c r="K20" s="7" t="s">
        <v>51</v>
      </c>
      <c r="L20" s="7" t="s">
        <v>29</v>
      </c>
      <c r="M20" s="7" t="s">
        <v>30</v>
      </c>
      <c r="N20" s="7" t="s">
        <v>31</v>
      </c>
      <c r="O20" s="7" t="s">
        <v>27</v>
      </c>
      <c r="P20" s="61" t="s">
        <v>26</v>
      </c>
      <c r="Q20" s="4" t="s">
        <v>19</v>
      </c>
      <c r="R20" s="62" t="s">
        <v>0</v>
      </c>
      <c r="S20" s="6" t="s">
        <v>1</v>
      </c>
      <c r="T20" s="62" t="s">
        <v>2</v>
      </c>
      <c r="U20" s="63" t="s">
        <v>3</v>
      </c>
      <c r="V20" s="66"/>
      <c r="W20" s="66"/>
    </row>
    <row r="21" spans="1:23" x14ac:dyDescent="0.2">
      <c r="A21" s="47" t="s">
        <v>66</v>
      </c>
      <c r="B21" s="51" t="s">
        <v>39</v>
      </c>
      <c r="C21" s="48">
        <v>25795.5</v>
      </c>
      <c r="D21" s="48" t="s">
        <v>59</v>
      </c>
      <c r="E21">
        <f t="shared" ref="E21:E52" si="1">+(C21-C$7)/C$8</f>
        <v>-11020.846702556368</v>
      </c>
      <c r="F21">
        <f t="shared" ref="F21:F52" si="2">ROUND(2*E21,0)/2</f>
        <v>-11021</v>
      </c>
      <c r="G21">
        <f t="shared" ref="G21:G54" si="3">+C21-(C$7+F21*C$8)</f>
        <v>0.37146500000017113</v>
      </c>
      <c r="I21">
        <f t="shared" ref="I21:I54" si="4">+G21</f>
        <v>0.37146500000017113</v>
      </c>
      <c r="P21" s="64">
        <f>+D$11+D$12*F21+D$13*F21^2</f>
        <v>0.27619362747933857</v>
      </c>
      <c r="Q21" s="65">
        <f>+C21-15018.5</f>
        <v>10777</v>
      </c>
      <c r="R21" s="66">
        <f>+(P21-G21)^2</f>
        <v>9.0766344220032501E-3</v>
      </c>
      <c r="S21" s="68">
        <v>0.1</v>
      </c>
      <c r="T21" s="66">
        <f>+S21*R21</f>
        <v>9.0766344220032504E-4</v>
      </c>
      <c r="U21" s="67"/>
      <c r="V21" s="66"/>
      <c r="W21" s="66"/>
    </row>
    <row r="22" spans="1:23" x14ac:dyDescent="0.2">
      <c r="A22" s="47" t="s">
        <v>66</v>
      </c>
      <c r="B22" s="51" t="s">
        <v>39</v>
      </c>
      <c r="C22" s="48">
        <v>25807.51</v>
      </c>
      <c r="D22" s="48" t="s">
        <v>59</v>
      </c>
      <c r="E22">
        <f t="shared" si="1"/>
        <v>-11015.890374778442</v>
      </c>
      <c r="F22">
        <f t="shared" si="2"/>
        <v>-11016</v>
      </c>
      <c r="G22">
        <f t="shared" si="3"/>
        <v>0.26563999999780208</v>
      </c>
      <c r="I22">
        <f t="shared" si="4"/>
        <v>0.26563999999780208</v>
      </c>
      <c r="P22" s="64">
        <f t="shared" ref="P22:P74" si="5">+D$11+D$12*F22+D$13*F22^2</f>
        <v>0.27584578214098099</v>
      </c>
      <c r="Q22" s="2">
        <f t="shared" ref="Q22:Q52" si="6">+C22-15018.5</f>
        <v>10789.009999999998</v>
      </c>
      <c r="R22" s="66">
        <f t="shared" ref="R22:R74" si="7">+(P22-G22)^2</f>
        <v>1.041579891540295E-4</v>
      </c>
      <c r="S22" s="68">
        <v>0.1</v>
      </c>
      <c r="T22" s="66">
        <f t="shared" ref="T22:T74" si="8">+S22*R22</f>
        <v>1.041579891540295E-5</v>
      </c>
      <c r="V22" s="66"/>
      <c r="W22" s="66"/>
    </row>
    <row r="23" spans="1:23" x14ac:dyDescent="0.2">
      <c r="A23" s="47" t="s">
        <v>66</v>
      </c>
      <c r="B23" s="51" t="s">
        <v>39</v>
      </c>
      <c r="C23" s="48">
        <v>25909.33</v>
      </c>
      <c r="D23" s="48" t="s">
        <v>59</v>
      </c>
      <c r="E23">
        <f t="shared" si="1"/>
        <v>-10973.870949770238</v>
      </c>
      <c r="F23">
        <f t="shared" si="2"/>
        <v>-10974</v>
      </c>
      <c r="G23">
        <f t="shared" si="3"/>
        <v>0.31270999999833293</v>
      </c>
      <c r="I23">
        <f t="shared" si="4"/>
        <v>0.31270999999833293</v>
      </c>
      <c r="P23" s="64">
        <f t="shared" si="5"/>
        <v>0.27293160380329917</v>
      </c>
      <c r="Q23" s="2">
        <f t="shared" si="6"/>
        <v>10890.830000000002</v>
      </c>
      <c r="R23" s="66">
        <f t="shared" si="7"/>
        <v>1.5823208038490764E-3</v>
      </c>
      <c r="S23" s="68">
        <v>0.1</v>
      </c>
      <c r="T23" s="66">
        <f t="shared" si="8"/>
        <v>1.5823208038490765E-4</v>
      </c>
      <c r="V23" s="66"/>
      <c r="W23" s="66"/>
    </row>
    <row r="24" spans="1:23" x14ac:dyDescent="0.2">
      <c r="A24" s="47" t="s">
        <v>66</v>
      </c>
      <c r="B24" s="51" t="s">
        <v>39</v>
      </c>
      <c r="C24" s="48">
        <v>25921.29</v>
      </c>
      <c r="D24" s="48" t="s">
        <v>59</v>
      </c>
      <c r="E24">
        <f t="shared" si="1"/>
        <v>-10968.935256162911</v>
      </c>
      <c r="F24">
        <f t="shared" si="2"/>
        <v>-10969</v>
      </c>
      <c r="G24">
        <f t="shared" si="3"/>
        <v>0.15688500000032946</v>
      </c>
      <c r="I24">
        <f t="shared" si="4"/>
        <v>0.15688500000032946</v>
      </c>
      <c r="P24" s="64">
        <f t="shared" si="5"/>
        <v>0.27258559715649444</v>
      </c>
      <c r="Q24" s="2">
        <f t="shared" si="6"/>
        <v>10902.79</v>
      </c>
      <c r="R24" s="66">
        <f t="shared" si="7"/>
        <v>1.3386628182293173E-2</v>
      </c>
      <c r="S24" s="68">
        <v>0.1</v>
      </c>
      <c r="T24" s="66">
        <f t="shared" si="8"/>
        <v>1.3386628182293174E-3</v>
      </c>
      <c r="V24" s="66"/>
      <c r="W24" s="66"/>
    </row>
    <row r="25" spans="1:23" x14ac:dyDescent="0.2">
      <c r="A25" s="47" t="s">
        <v>66</v>
      </c>
      <c r="B25" s="51" t="s">
        <v>39</v>
      </c>
      <c r="C25" s="48">
        <v>26219.47</v>
      </c>
      <c r="D25" s="48" t="s">
        <v>59</v>
      </c>
      <c r="E25">
        <f t="shared" si="1"/>
        <v>-10845.881316377549</v>
      </c>
      <c r="F25">
        <f t="shared" si="2"/>
        <v>-10846</v>
      </c>
      <c r="G25">
        <f t="shared" si="3"/>
        <v>0.2875899999999092</v>
      </c>
      <c r="I25">
        <f t="shared" si="4"/>
        <v>0.2875899999999092</v>
      </c>
      <c r="P25" s="64">
        <f t="shared" si="5"/>
        <v>0.26413542590000649</v>
      </c>
      <c r="Q25" s="2">
        <f t="shared" si="6"/>
        <v>11200.970000000001</v>
      </c>
      <c r="R25" s="66">
        <f t="shared" si="7"/>
        <v>5.5011704620782666E-4</v>
      </c>
      <c r="S25" s="68">
        <v>0.1</v>
      </c>
      <c r="T25" s="66">
        <f t="shared" si="8"/>
        <v>5.5011704620782666E-5</v>
      </c>
      <c r="V25" s="66"/>
      <c r="W25" s="66"/>
    </row>
    <row r="26" spans="1:23" x14ac:dyDescent="0.2">
      <c r="A26" s="47" t="s">
        <v>66</v>
      </c>
      <c r="B26" s="51" t="s">
        <v>39</v>
      </c>
      <c r="C26" s="48">
        <v>27668.39</v>
      </c>
      <c r="D26" s="48" t="s">
        <v>59</v>
      </c>
      <c r="E26">
        <f t="shared" si="1"/>
        <v>-10247.936067085817</v>
      </c>
      <c r="F26">
        <f t="shared" si="2"/>
        <v>-10248</v>
      </c>
      <c r="G26">
        <f t="shared" si="3"/>
        <v>0.15491999999721884</v>
      </c>
      <c r="I26">
        <f t="shared" si="4"/>
        <v>0.15491999999721884</v>
      </c>
      <c r="P26" s="64">
        <f t="shared" si="5"/>
        <v>0.22473921685437651</v>
      </c>
      <c r="Q26" s="2">
        <f t="shared" si="6"/>
        <v>12649.89</v>
      </c>
      <c r="R26" s="66">
        <f t="shared" si="7"/>
        <v>4.874723042546809E-3</v>
      </c>
      <c r="S26" s="68">
        <v>0.1</v>
      </c>
      <c r="T26" s="66">
        <f t="shared" si="8"/>
        <v>4.8747230425468094E-4</v>
      </c>
      <c r="V26" s="66"/>
      <c r="W26" s="66"/>
    </row>
    <row r="27" spans="1:23" x14ac:dyDescent="0.2">
      <c r="A27" s="47" t="s">
        <v>66</v>
      </c>
      <c r="B27" s="51" t="s">
        <v>39</v>
      </c>
      <c r="C27" s="48">
        <v>27685.39</v>
      </c>
      <c r="D27" s="48" t="s">
        <v>59</v>
      </c>
      <c r="E27">
        <f t="shared" si="1"/>
        <v>-10240.92044908209</v>
      </c>
      <c r="F27">
        <f t="shared" si="2"/>
        <v>-10241</v>
      </c>
      <c r="G27">
        <f t="shared" si="3"/>
        <v>0.19276499999614316</v>
      </c>
      <c r="I27">
        <f t="shared" si="4"/>
        <v>0.19276499999614316</v>
      </c>
      <c r="P27" s="64">
        <f t="shared" si="5"/>
        <v>0.22429462500124234</v>
      </c>
      <c r="Q27" s="2">
        <f t="shared" si="6"/>
        <v>12666.89</v>
      </c>
      <c r="R27" s="66">
        <f t="shared" si="7"/>
        <v>9.9411725296217517E-4</v>
      </c>
      <c r="S27" s="68">
        <v>0.1</v>
      </c>
      <c r="T27" s="66">
        <f t="shared" si="8"/>
        <v>9.9411725296217522E-5</v>
      </c>
      <c r="V27" s="66"/>
      <c r="W27" s="66"/>
    </row>
    <row r="28" spans="1:23" x14ac:dyDescent="0.2">
      <c r="A28" s="47" t="s">
        <v>66</v>
      </c>
      <c r="B28" s="51" t="s">
        <v>39</v>
      </c>
      <c r="C28" s="48">
        <v>27719.37</v>
      </c>
      <c r="D28" s="48" t="s">
        <v>59</v>
      </c>
      <c r="E28">
        <f t="shared" si="1"/>
        <v>-10226.897466742877</v>
      </c>
      <c r="F28">
        <f t="shared" si="2"/>
        <v>-10227</v>
      </c>
      <c r="G28">
        <f t="shared" si="3"/>
        <v>0.24845499999719323</v>
      </c>
      <c r="I28">
        <f t="shared" si="4"/>
        <v>0.24845499999719323</v>
      </c>
      <c r="P28" s="64">
        <f t="shared" si="5"/>
        <v>0.2234065914552219</v>
      </c>
      <c r="Q28" s="2">
        <f t="shared" si="6"/>
        <v>12700.869999999999</v>
      </c>
      <c r="R28" s="66">
        <f t="shared" si="7"/>
        <v>6.2742277048550199E-4</v>
      </c>
      <c r="S28" s="68">
        <v>0.1</v>
      </c>
      <c r="T28" s="66">
        <f t="shared" si="8"/>
        <v>6.2742277048550202E-5</v>
      </c>
      <c r="V28" s="66"/>
      <c r="W28" s="66"/>
    </row>
    <row r="29" spans="1:23" x14ac:dyDescent="0.2">
      <c r="A29" s="47" t="s">
        <v>66</v>
      </c>
      <c r="B29" s="51" t="s">
        <v>39</v>
      </c>
      <c r="C29" s="48">
        <v>27932.560000000001</v>
      </c>
      <c r="D29" s="48" t="s">
        <v>59</v>
      </c>
      <c r="E29">
        <f t="shared" si="1"/>
        <v>-10138.917490142025</v>
      </c>
      <c r="F29">
        <f t="shared" si="2"/>
        <v>-10139</v>
      </c>
      <c r="G29">
        <f t="shared" si="3"/>
        <v>0.19993500000055064</v>
      </c>
      <c r="I29">
        <f t="shared" si="4"/>
        <v>0.19993500000055064</v>
      </c>
      <c r="P29" s="64">
        <f t="shared" si="5"/>
        <v>0.21785978140535672</v>
      </c>
      <c r="Q29" s="2">
        <f t="shared" si="6"/>
        <v>12914.060000000001</v>
      </c>
      <c r="R29" s="66">
        <f t="shared" si="7"/>
        <v>3.2129778841008175E-4</v>
      </c>
      <c r="S29" s="68">
        <v>0.1</v>
      </c>
      <c r="T29" s="66">
        <f t="shared" si="8"/>
        <v>3.2129778841008176E-5</v>
      </c>
      <c r="V29" s="66"/>
      <c r="W29" s="66"/>
    </row>
    <row r="30" spans="1:23" x14ac:dyDescent="0.2">
      <c r="A30" s="47" t="s">
        <v>66</v>
      </c>
      <c r="B30" s="51" t="s">
        <v>39</v>
      </c>
      <c r="C30" s="48">
        <v>27978.49</v>
      </c>
      <c r="D30" s="48" t="s">
        <v>59</v>
      </c>
      <c r="E30">
        <f t="shared" si="1"/>
        <v>-10119.962941029604</v>
      </c>
      <c r="F30">
        <f t="shared" si="2"/>
        <v>-10120</v>
      </c>
      <c r="G30">
        <f t="shared" si="3"/>
        <v>8.9800000001559965E-2</v>
      </c>
      <c r="I30">
        <f t="shared" si="4"/>
        <v>8.9800000001559965E-2</v>
      </c>
      <c r="P30" s="64">
        <f t="shared" si="5"/>
        <v>0.21667012800903826</v>
      </c>
      <c r="Q30" s="2">
        <f t="shared" si="6"/>
        <v>12959.990000000002</v>
      </c>
      <c r="R30" s="66">
        <f t="shared" si="7"/>
        <v>1.6096029380633928E-2</v>
      </c>
      <c r="S30" s="68">
        <v>0.1</v>
      </c>
      <c r="T30" s="66">
        <f t="shared" si="8"/>
        <v>1.6096029380633929E-3</v>
      </c>
      <c r="V30" s="66"/>
      <c r="W30" s="66"/>
    </row>
    <row r="31" spans="1:23" x14ac:dyDescent="0.2">
      <c r="A31" s="47" t="s">
        <v>66</v>
      </c>
      <c r="B31" s="51" t="s">
        <v>39</v>
      </c>
      <c r="C31" s="48">
        <v>28046.42</v>
      </c>
      <c r="D31" s="48" t="s">
        <v>59</v>
      </c>
      <c r="E31">
        <f t="shared" si="1"/>
        <v>-10091.929356853538</v>
      </c>
      <c r="F31">
        <f t="shared" si="2"/>
        <v>-10092</v>
      </c>
      <c r="G31">
        <f t="shared" si="3"/>
        <v>0.17117999999754829</v>
      </c>
      <c r="I31">
        <f t="shared" si="4"/>
        <v>0.17117999999754829</v>
      </c>
      <c r="P31" s="64">
        <f t="shared" si="5"/>
        <v>0.21492210291923258</v>
      </c>
      <c r="Q31" s="2">
        <f t="shared" si="6"/>
        <v>13027.919999999998</v>
      </c>
      <c r="R31" s="66">
        <f t="shared" si="7"/>
        <v>1.9133715680112213E-3</v>
      </c>
      <c r="S31" s="68">
        <v>0.1</v>
      </c>
      <c r="T31" s="66">
        <f t="shared" si="8"/>
        <v>1.9133715680112214E-4</v>
      </c>
      <c r="V31" s="66"/>
      <c r="W31" s="66"/>
    </row>
    <row r="32" spans="1:23" x14ac:dyDescent="0.2">
      <c r="A32" s="47" t="s">
        <v>101</v>
      </c>
      <c r="B32" s="51" t="s">
        <v>39</v>
      </c>
      <c r="C32" s="48">
        <v>28790.39</v>
      </c>
      <c r="D32" s="48" t="s">
        <v>59</v>
      </c>
      <c r="E32">
        <f t="shared" si="1"/>
        <v>-9784.9052788398658</v>
      </c>
      <c r="F32">
        <f t="shared" si="2"/>
        <v>-9785</v>
      </c>
      <c r="G32">
        <f t="shared" si="3"/>
        <v>0.22952499999883003</v>
      </c>
      <c r="I32">
        <f t="shared" si="4"/>
        <v>0.22952499999883003</v>
      </c>
      <c r="P32" s="64">
        <f t="shared" si="5"/>
        <v>0.19615859731960442</v>
      </c>
      <c r="Q32" s="2">
        <f t="shared" si="6"/>
        <v>13771.89</v>
      </c>
      <c r="R32" s="66">
        <f t="shared" si="7"/>
        <v>1.113316827752234E-3</v>
      </c>
      <c r="S32" s="68">
        <v>0.1</v>
      </c>
      <c r="T32" s="66">
        <f t="shared" si="8"/>
        <v>1.113316827752234E-4</v>
      </c>
      <c r="V32" s="66"/>
      <c r="W32" s="66"/>
    </row>
    <row r="33" spans="1:20" x14ac:dyDescent="0.2">
      <c r="A33" s="47" t="s">
        <v>106</v>
      </c>
      <c r="B33" s="51" t="s">
        <v>39</v>
      </c>
      <c r="C33" s="48">
        <v>28858.219000000001</v>
      </c>
      <c r="D33" s="48" t="s">
        <v>59</v>
      </c>
      <c r="E33">
        <f t="shared" si="1"/>
        <v>-9756.9133756884075</v>
      </c>
      <c r="F33">
        <f t="shared" si="2"/>
        <v>-9757</v>
      </c>
      <c r="G33">
        <f t="shared" si="3"/>
        <v>0.2099049999997078</v>
      </c>
      <c r="I33">
        <f t="shared" si="4"/>
        <v>0.2099049999997078</v>
      </c>
      <c r="P33" s="64">
        <f t="shared" si="5"/>
        <v>0.19448396340752355</v>
      </c>
      <c r="Q33" s="2">
        <f t="shared" si="6"/>
        <v>13839.719000000001</v>
      </c>
      <c r="R33" s="66">
        <f t="shared" si="7"/>
        <v>2.3780836957748547E-4</v>
      </c>
      <c r="S33" s="68">
        <v>0.1</v>
      </c>
      <c r="T33" s="66">
        <f t="shared" si="8"/>
        <v>2.3780836957748549E-5</v>
      </c>
    </row>
    <row r="34" spans="1:20" x14ac:dyDescent="0.2">
      <c r="A34" s="47" t="s">
        <v>66</v>
      </c>
      <c r="B34" s="51" t="s">
        <v>39</v>
      </c>
      <c r="C34" s="48">
        <v>30222.400000000001</v>
      </c>
      <c r="D34" s="48" t="s">
        <v>59</v>
      </c>
      <c r="E34">
        <f t="shared" si="1"/>
        <v>-9193.9385060447803</v>
      </c>
      <c r="F34">
        <f t="shared" si="2"/>
        <v>-9194</v>
      </c>
      <c r="G34">
        <f t="shared" si="3"/>
        <v>0.14901000000099884</v>
      </c>
      <c r="I34">
        <f t="shared" si="4"/>
        <v>0.14901000000099884</v>
      </c>
      <c r="P34" s="64">
        <f t="shared" si="5"/>
        <v>0.16211354809632347</v>
      </c>
      <c r="Q34" s="2">
        <f t="shared" si="6"/>
        <v>15203.900000000001</v>
      </c>
      <c r="R34" s="66">
        <f t="shared" si="7"/>
        <v>1.7170297268648572E-4</v>
      </c>
      <c r="S34" s="68">
        <v>0.1</v>
      </c>
      <c r="T34" s="66">
        <f t="shared" si="8"/>
        <v>1.7170297268648574E-5</v>
      </c>
    </row>
    <row r="35" spans="1:20" x14ac:dyDescent="0.2">
      <c r="A35" s="47" t="s">
        <v>66</v>
      </c>
      <c r="B35" s="51" t="s">
        <v>39</v>
      </c>
      <c r="C35" s="48">
        <v>30600.41</v>
      </c>
      <c r="D35" s="48" t="s">
        <v>59</v>
      </c>
      <c r="E35">
        <f t="shared" si="1"/>
        <v>-9037.9400494807414</v>
      </c>
      <c r="F35">
        <f t="shared" si="2"/>
        <v>-9038</v>
      </c>
      <c r="G35">
        <f t="shared" si="3"/>
        <v>0.14526999999725376</v>
      </c>
      <c r="I35">
        <f t="shared" si="4"/>
        <v>0.14526999999725376</v>
      </c>
      <c r="P35" s="64">
        <f t="shared" si="5"/>
        <v>0.15358292360747228</v>
      </c>
      <c r="Q35" s="2">
        <f t="shared" si="6"/>
        <v>15581.91</v>
      </c>
      <c r="R35" s="66">
        <f t="shared" si="7"/>
        <v>6.9104698949328422E-5</v>
      </c>
      <c r="S35" s="68">
        <v>0.1</v>
      </c>
      <c r="T35" s="66">
        <f t="shared" si="8"/>
        <v>6.9104698949328429E-6</v>
      </c>
    </row>
    <row r="36" spans="1:20" x14ac:dyDescent="0.2">
      <c r="A36" s="47" t="s">
        <v>66</v>
      </c>
      <c r="B36" s="51" t="s">
        <v>39</v>
      </c>
      <c r="C36" s="48">
        <v>30605.3</v>
      </c>
      <c r="D36" s="48" t="s">
        <v>59</v>
      </c>
      <c r="E36">
        <f t="shared" si="1"/>
        <v>-9035.9220275961416</v>
      </c>
      <c r="F36">
        <f t="shared" si="2"/>
        <v>-9036</v>
      </c>
      <c r="G36">
        <f t="shared" si="3"/>
        <v>0.18893999999636435</v>
      </c>
      <c r="I36">
        <f t="shared" si="4"/>
        <v>0.18893999999636435</v>
      </c>
      <c r="P36" s="64">
        <f t="shared" si="5"/>
        <v>0.15347479285350701</v>
      </c>
      <c r="Q36" s="2">
        <f t="shared" si="6"/>
        <v>15586.8</v>
      </c>
      <c r="R36" s="66">
        <f t="shared" si="7"/>
        <v>1.2577809176857789E-3</v>
      </c>
      <c r="S36" s="68">
        <v>0.1</v>
      </c>
      <c r="T36" s="66">
        <f t="shared" si="8"/>
        <v>1.257780917685779E-4</v>
      </c>
    </row>
    <row r="37" spans="1:20" x14ac:dyDescent="0.2">
      <c r="A37" s="47" t="s">
        <v>66</v>
      </c>
      <c r="B37" s="51" t="s">
        <v>39</v>
      </c>
      <c r="C37" s="48">
        <v>30612.57</v>
      </c>
      <c r="D37" s="48" t="s">
        <v>59</v>
      </c>
      <c r="E37">
        <f t="shared" si="1"/>
        <v>-9032.9218191910168</v>
      </c>
      <c r="F37">
        <f t="shared" si="2"/>
        <v>-9033</v>
      </c>
      <c r="G37">
        <f t="shared" si="3"/>
        <v>0.1894449999963399</v>
      </c>
      <c r="I37">
        <f t="shared" si="4"/>
        <v>0.1894449999963399</v>
      </c>
      <c r="P37" s="64">
        <f t="shared" si="5"/>
        <v>0.15331265540420438</v>
      </c>
      <c r="Q37" s="2">
        <f t="shared" si="6"/>
        <v>15594.07</v>
      </c>
      <c r="R37" s="66">
        <f t="shared" si="7"/>
        <v>1.3055463257248248E-3</v>
      </c>
      <c r="S37" s="68">
        <v>0.1</v>
      </c>
      <c r="T37" s="66">
        <f t="shared" si="8"/>
        <v>1.305546325724825E-4</v>
      </c>
    </row>
    <row r="38" spans="1:20" x14ac:dyDescent="0.2">
      <c r="A38" s="47" t="s">
        <v>119</v>
      </c>
      <c r="B38" s="51" t="s">
        <v>39</v>
      </c>
      <c r="C38" s="48">
        <v>30908.17</v>
      </c>
      <c r="D38" s="48" t="s">
        <v>59</v>
      </c>
      <c r="E38">
        <f t="shared" si="1"/>
        <v>-8910.9326026085728</v>
      </c>
      <c r="F38">
        <f t="shared" si="2"/>
        <v>-8911</v>
      </c>
      <c r="G38">
        <f t="shared" si="3"/>
        <v>0.16331499999796506</v>
      </c>
      <c r="I38">
        <f t="shared" si="4"/>
        <v>0.16331499999796506</v>
      </c>
      <c r="P38" s="64">
        <f t="shared" si="5"/>
        <v>0.1467787254719565</v>
      </c>
      <c r="Q38" s="2">
        <f t="shared" si="6"/>
        <v>15889.669999999998</v>
      </c>
      <c r="R38" s="66">
        <f t="shared" si="7"/>
        <v>2.7344837519951959E-4</v>
      </c>
      <c r="S38" s="68">
        <v>0.1</v>
      </c>
      <c r="T38" s="66">
        <f t="shared" si="8"/>
        <v>2.7344837519951961E-5</v>
      </c>
    </row>
    <row r="39" spans="1:20" x14ac:dyDescent="0.2">
      <c r="A39" s="47" t="s">
        <v>119</v>
      </c>
      <c r="B39" s="51" t="s">
        <v>39</v>
      </c>
      <c r="C39" s="48">
        <v>30932.46</v>
      </c>
      <c r="D39" s="48" t="s">
        <v>59</v>
      </c>
      <c r="E39">
        <f t="shared" si="1"/>
        <v>-8900.908522531483</v>
      </c>
      <c r="F39">
        <f t="shared" si="2"/>
        <v>-8901</v>
      </c>
      <c r="G39">
        <f t="shared" si="3"/>
        <v>0.22166499999730149</v>
      </c>
      <c r="I39">
        <f t="shared" si="4"/>
        <v>0.22166499999730149</v>
      </c>
      <c r="P39" s="64">
        <f t="shared" si="5"/>
        <v>0.14624832142950972</v>
      </c>
      <c r="Q39" s="2">
        <f t="shared" si="6"/>
        <v>15913.96</v>
      </c>
      <c r="R39" s="66">
        <f t="shared" si="7"/>
        <v>5.687675406197623E-3</v>
      </c>
      <c r="S39" s="68">
        <v>0.1</v>
      </c>
      <c r="T39" s="66">
        <f t="shared" si="8"/>
        <v>5.6876754061976236E-4</v>
      </c>
    </row>
    <row r="40" spans="1:20" x14ac:dyDescent="0.2">
      <c r="A40" s="47" t="s">
        <v>119</v>
      </c>
      <c r="B40" s="51" t="s">
        <v>39</v>
      </c>
      <c r="C40" s="48">
        <v>30937.25</v>
      </c>
      <c r="D40" s="48" t="s">
        <v>59</v>
      </c>
      <c r="E40">
        <f t="shared" si="1"/>
        <v>-8898.9317689880809</v>
      </c>
      <c r="F40">
        <f t="shared" si="2"/>
        <v>-8899</v>
      </c>
      <c r="G40">
        <f t="shared" si="3"/>
        <v>0.16533499999786727</v>
      </c>
      <c r="I40">
        <f t="shared" si="4"/>
        <v>0.16533499999786727</v>
      </c>
      <c r="P40" s="64">
        <f t="shared" si="5"/>
        <v>0.14614233451165282</v>
      </c>
      <c r="Q40" s="2">
        <f t="shared" si="6"/>
        <v>15918.75</v>
      </c>
      <c r="R40" s="66">
        <f t="shared" si="7"/>
        <v>3.6835840846572755E-4</v>
      </c>
      <c r="S40" s="68">
        <v>0.1</v>
      </c>
      <c r="T40" s="66">
        <f t="shared" si="8"/>
        <v>3.6835840846572758E-5</v>
      </c>
    </row>
    <row r="41" spans="1:20" x14ac:dyDescent="0.2">
      <c r="A41" s="47" t="s">
        <v>106</v>
      </c>
      <c r="B41" s="51" t="s">
        <v>39</v>
      </c>
      <c r="C41" s="48">
        <v>30956.629000000001</v>
      </c>
      <c r="D41" s="48" t="s">
        <v>59</v>
      </c>
      <c r="E41">
        <f t="shared" si="1"/>
        <v>-8890.9343771472431</v>
      </c>
      <c r="F41">
        <f t="shared" si="2"/>
        <v>-8891</v>
      </c>
      <c r="G41">
        <f t="shared" si="3"/>
        <v>0.15901499999745283</v>
      </c>
      <c r="I41">
        <f t="shared" si="4"/>
        <v>0.15901499999745283</v>
      </c>
      <c r="P41" s="64">
        <f t="shared" si="5"/>
        <v>0.14571869980900024</v>
      </c>
      <c r="Q41" s="2">
        <f t="shared" si="6"/>
        <v>15938.129000000001</v>
      </c>
      <c r="R41" s="66">
        <f t="shared" si="7"/>
        <v>1.7679159870144458E-4</v>
      </c>
      <c r="S41" s="68">
        <v>0.1</v>
      </c>
      <c r="T41" s="66">
        <f t="shared" si="8"/>
        <v>1.7679159870144458E-5</v>
      </c>
    </row>
    <row r="42" spans="1:20" x14ac:dyDescent="0.2">
      <c r="A42" s="47" t="s">
        <v>119</v>
      </c>
      <c r="B42" s="51" t="s">
        <v>39</v>
      </c>
      <c r="C42" s="48">
        <v>30966.33</v>
      </c>
      <c r="D42" s="48" t="s">
        <v>59</v>
      </c>
      <c r="E42">
        <f t="shared" si="1"/>
        <v>-8886.9309353675872</v>
      </c>
      <c r="F42">
        <f t="shared" si="2"/>
        <v>-8887</v>
      </c>
      <c r="G42">
        <f t="shared" si="3"/>
        <v>0.16735500000140746</v>
      </c>
      <c r="I42">
        <f t="shared" si="4"/>
        <v>0.16735500000140746</v>
      </c>
      <c r="P42" s="64">
        <f t="shared" si="5"/>
        <v>0.14550707023893891</v>
      </c>
      <c r="Q42" s="2">
        <f t="shared" si="6"/>
        <v>15947.830000000002</v>
      </c>
      <c r="R42" s="66">
        <f t="shared" si="7"/>
        <v>4.7733203490575902E-4</v>
      </c>
      <c r="S42" s="68">
        <v>0.1</v>
      </c>
      <c r="T42" s="66">
        <f t="shared" si="8"/>
        <v>4.7733203490575903E-5</v>
      </c>
    </row>
    <row r="43" spans="1:20" x14ac:dyDescent="0.2">
      <c r="A43" s="47" t="s">
        <v>119</v>
      </c>
      <c r="B43" s="51" t="s">
        <v>39</v>
      </c>
      <c r="C43" s="48">
        <v>30971.119999999999</v>
      </c>
      <c r="D43" s="48" t="s">
        <v>59</v>
      </c>
      <c r="E43">
        <f t="shared" si="1"/>
        <v>-8884.9541818241851</v>
      </c>
      <c r="F43">
        <f t="shared" si="2"/>
        <v>-8885</v>
      </c>
      <c r="G43">
        <f t="shared" si="3"/>
        <v>0.11102499999833526</v>
      </c>
      <c r="I43">
        <f t="shared" si="4"/>
        <v>0.11102499999833526</v>
      </c>
      <c r="P43" s="64">
        <f t="shared" si="5"/>
        <v>0.14540130239922447</v>
      </c>
      <c r="Q43" s="2">
        <f t="shared" si="6"/>
        <v>15952.619999999999</v>
      </c>
      <c r="R43" s="66">
        <f t="shared" si="7"/>
        <v>1.1817301667573811E-3</v>
      </c>
      <c r="S43" s="68">
        <v>0.1</v>
      </c>
      <c r="T43" s="66">
        <f t="shared" si="8"/>
        <v>1.1817301667573811E-4</v>
      </c>
    </row>
    <row r="44" spans="1:20" x14ac:dyDescent="0.2">
      <c r="A44" s="47" t="s">
        <v>119</v>
      </c>
      <c r="B44" s="51" t="s">
        <v>39</v>
      </c>
      <c r="C44" s="48">
        <v>30995.38</v>
      </c>
      <c r="D44" s="48" t="s">
        <v>59</v>
      </c>
      <c r="E44">
        <f t="shared" si="1"/>
        <v>-8874.9424822494548</v>
      </c>
      <c r="F44">
        <f t="shared" si="2"/>
        <v>-8875</v>
      </c>
      <c r="G44">
        <f t="shared" si="3"/>
        <v>0.13937499999883585</v>
      </c>
      <c r="I44">
        <f t="shared" si="4"/>
        <v>0.13937499999883585</v>
      </c>
      <c r="P44" s="64">
        <f t="shared" si="5"/>
        <v>0.14487293265381479</v>
      </c>
      <c r="Q44" s="2">
        <f t="shared" si="6"/>
        <v>15976.880000000001</v>
      </c>
      <c r="R44" s="66">
        <f t="shared" si="7"/>
        <v>3.0227263478683811E-5</v>
      </c>
      <c r="S44" s="68">
        <v>0.1</v>
      </c>
      <c r="T44" s="66">
        <f t="shared" si="8"/>
        <v>3.0227263478683814E-6</v>
      </c>
    </row>
    <row r="45" spans="1:20" x14ac:dyDescent="0.2">
      <c r="A45" s="47" t="s">
        <v>119</v>
      </c>
      <c r="B45" s="51" t="s">
        <v>39</v>
      </c>
      <c r="C45" s="48">
        <v>31000.29</v>
      </c>
      <c r="D45" s="48" t="s">
        <v>59</v>
      </c>
      <c r="E45">
        <f t="shared" si="1"/>
        <v>-8872.9162066966146</v>
      </c>
      <c r="F45">
        <f t="shared" si="2"/>
        <v>-8873</v>
      </c>
      <c r="G45">
        <f t="shared" si="3"/>
        <v>0.20304499999838299</v>
      </c>
      <c r="I45">
        <f t="shared" si="4"/>
        <v>0.20304499999838299</v>
      </c>
      <c r="P45" s="64">
        <f t="shared" si="5"/>
        <v>0.14476735259536533</v>
      </c>
      <c r="Q45" s="2">
        <f t="shared" si="6"/>
        <v>15981.79</v>
      </c>
      <c r="R45" s="66">
        <f t="shared" si="7"/>
        <v>3.3962841868304511E-3</v>
      </c>
      <c r="S45" s="68">
        <v>0.1</v>
      </c>
      <c r="T45" s="66">
        <f t="shared" si="8"/>
        <v>3.3962841868304512E-4</v>
      </c>
    </row>
    <row r="46" spans="1:20" x14ac:dyDescent="0.2">
      <c r="A46" s="47" t="s">
        <v>119</v>
      </c>
      <c r="B46" s="51" t="s">
        <v>39</v>
      </c>
      <c r="C46" s="48">
        <v>31150.5</v>
      </c>
      <c r="D46" s="48" t="s">
        <v>59</v>
      </c>
      <c r="E46">
        <f t="shared" si="1"/>
        <v>-8810.9270313825109</v>
      </c>
      <c r="F46">
        <f t="shared" si="2"/>
        <v>-8811</v>
      </c>
      <c r="G46">
        <f t="shared" si="3"/>
        <v>0.17681499999889638</v>
      </c>
      <c r="I46">
        <f t="shared" si="4"/>
        <v>0.17681499999889638</v>
      </c>
      <c r="P46" s="64">
        <f t="shared" si="5"/>
        <v>0.14150989403466968</v>
      </c>
      <c r="Q46" s="2">
        <f t="shared" si="6"/>
        <v>16132</v>
      </c>
      <c r="R46" s="66">
        <f t="shared" si="7"/>
        <v>1.2464505071452759E-3</v>
      </c>
      <c r="S46" s="68">
        <v>0.1</v>
      </c>
      <c r="T46" s="66">
        <f t="shared" si="8"/>
        <v>1.246450507145276E-4</v>
      </c>
    </row>
    <row r="47" spans="1:20" x14ac:dyDescent="0.2">
      <c r="A47" s="47" t="s">
        <v>119</v>
      </c>
      <c r="B47" s="51" t="s">
        <v>39</v>
      </c>
      <c r="C47" s="48">
        <v>31213.46</v>
      </c>
      <c r="D47" s="48" t="s">
        <v>59</v>
      </c>
      <c r="E47">
        <f t="shared" si="1"/>
        <v>-8784.944483764004</v>
      </c>
      <c r="F47">
        <f t="shared" si="2"/>
        <v>-8785</v>
      </c>
      <c r="G47">
        <f t="shared" si="3"/>
        <v>0.13452499999766587</v>
      </c>
      <c r="I47">
        <f t="shared" si="4"/>
        <v>0.13452499999766587</v>
      </c>
      <c r="P47" s="64">
        <f t="shared" si="5"/>
        <v>0.14015281393230913</v>
      </c>
      <c r="Q47" s="2">
        <f t="shared" si="6"/>
        <v>16194.96</v>
      </c>
      <c r="R47" s="66">
        <f t="shared" si="7"/>
        <v>3.1672289682964862E-5</v>
      </c>
      <c r="S47" s="68">
        <v>0.1</v>
      </c>
      <c r="T47" s="66">
        <f t="shared" si="8"/>
        <v>3.1672289682964865E-6</v>
      </c>
    </row>
    <row r="48" spans="1:20" x14ac:dyDescent="0.2">
      <c r="A48" s="47" t="s">
        <v>119</v>
      </c>
      <c r="B48" s="51" t="s">
        <v>39</v>
      </c>
      <c r="C48" s="48">
        <v>31230.42</v>
      </c>
      <c r="D48" s="48" t="s">
        <v>59</v>
      </c>
      <c r="E48">
        <f t="shared" si="1"/>
        <v>-8777.945373096758</v>
      </c>
      <c r="F48">
        <f t="shared" si="2"/>
        <v>-8778</v>
      </c>
      <c r="G48">
        <f t="shared" si="3"/>
        <v>0.13236999999571708</v>
      </c>
      <c r="I48">
        <f t="shared" si="4"/>
        <v>0.13236999999571708</v>
      </c>
      <c r="P48" s="64">
        <f t="shared" si="5"/>
        <v>0.13978834990978051</v>
      </c>
      <c r="Q48" s="2">
        <f t="shared" si="6"/>
        <v>16211.919999999998</v>
      </c>
      <c r="R48" s="66">
        <f t="shared" si="7"/>
        <v>5.5031915447484855E-5</v>
      </c>
      <c r="S48" s="68">
        <v>0.1</v>
      </c>
      <c r="T48" s="66">
        <f t="shared" si="8"/>
        <v>5.5031915447484857E-6</v>
      </c>
    </row>
    <row r="49" spans="1:21" x14ac:dyDescent="0.2">
      <c r="A49" s="47" t="s">
        <v>119</v>
      </c>
      <c r="B49" s="51" t="s">
        <v>39</v>
      </c>
      <c r="C49" s="48">
        <v>31235.29</v>
      </c>
      <c r="D49" s="48" t="s">
        <v>59</v>
      </c>
      <c r="E49">
        <f t="shared" si="1"/>
        <v>-8775.9356048803947</v>
      </c>
      <c r="F49">
        <f t="shared" si="2"/>
        <v>-8776</v>
      </c>
      <c r="G49">
        <f t="shared" si="3"/>
        <v>0.15603999999802909</v>
      </c>
      <c r="I49">
        <f t="shared" si="4"/>
        <v>0.15603999999802909</v>
      </c>
      <c r="P49" s="64">
        <f t="shared" si="5"/>
        <v>0.1396842877498895</v>
      </c>
      <c r="Q49" s="2">
        <f t="shared" si="6"/>
        <v>16216.79</v>
      </c>
      <c r="R49" s="66">
        <f t="shared" si="7"/>
        <v>2.6750932314394327E-4</v>
      </c>
      <c r="S49" s="68">
        <v>0.1</v>
      </c>
      <c r="T49" s="66">
        <f t="shared" si="8"/>
        <v>2.6750932314394329E-5</v>
      </c>
    </row>
    <row r="50" spans="1:21" x14ac:dyDescent="0.2">
      <c r="A50" s="47" t="s">
        <v>119</v>
      </c>
      <c r="B50" s="51" t="s">
        <v>39</v>
      </c>
      <c r="C50" s="48">
        <v>31252.25</v>
      </c>
      <c r="D50" s="48" t="s">
        <v>59</v>
      </c>
      <c r="E50">
        <f t="shared" si="1"/>
        <v>-8768.9364942131469</v>
      </c>
      <c r="F50">
        <f t="shared" si="2"/>
        <v>-8769</v>
      </c>
      <c r="G50">
        <f t="shared" si="3"/>
        <v>0.15388499999971827</v>
      </c>
      <c r="I50">
        <f t="shared" si="4"/>
        <v>0.15388499999971827</v>
      </c>
      <c r="P50" s="64">
        <f t="shared" si="5"/>
        <v>0.13932031665318145</v>
      </c>
      <c r="Q50" s="2">
        <f t="shared" si="6"/>
        <v>16233.75</v>
      </c>
      <c r="R50" s="66">
        <f t="shared" si="7"/>
        <v>2.1213000098488705E-4</v>
      </c>
      <c r="S50" s="68">
        <v>0.1</v>
      </c>
      <c r="T50" s="66">
        <f t="shared" si="8"/>
        <v>2.1213000098488707E-5</v>
      </c>
    </row>
    <row r="51" spans="1:21" x14ac:dyDescent="0.2">
      <c r="A51" s="47" t="s">
        <v>119</v>
      </c>
      <c r="B51" s="51" t="s">
        <v>39</v>
      </c>
      <c r="C51" s="48">
        <v>31259.5</v>
      </c>
      <c r="D51" s="48" t="s">
        <v>59</v>
      </c>
      <c r="E51">
        <f t="shared" si="1"/>
        <v>-8765.9445394762643</v>
      </c>
      <c r="F51">
        <f t="shared" si="2"/>
        <v>-8766</v>
      </c>
      <c r="G51">
        <f t="shared" si="3"/>
        <v>0.13438999999925727</v>
      </c>
      <c r="I51">
        <f t="shared" si="4"/>
        <v>0.13438999999925727</v>
      </c>
      <c r="P51" s="64">
        <f t="shared" si="5"/>
        <v>0.13916444640359713</v>
      </c>
      <c r="Q51" s="2">
        <f t="shared" si="6"/>
        <v>16241</v>
      </c>
      <c r="R51" s="66">
        <f t="shared" si="7"/>
        <v>2.2795338467913769E-5</v>
      </c>
      <c r="S51" s="68">
        <v>0.1</v>
      </c>
      <c r="T51" s="66">
        <f t="shared" si="8"/>
        <v>2.2795338467913771E-6</v>
      </c>
    </row>
    <row r="52" spans="1:21" x14ac:dyDescent="0.2">
      <c r="A52" s="47" t="s">
        <v>119</v>
      </c>
      <c r="B52" s="51" t="s">
        <v>39</v>
      </c>
      <c r="C52" s="48">
        <v>31269.21</v>
      </c>
      <c r="D52" s="48" t="s">
        <v>59</v>
      </c>
      <c r="E52">
        <f t="shared" si="1"/>
        <v>-8761.937383545901</v>
      </c>
      <c r="F52">
        <f t="shared" si="2"/>
        <v>-8762</v>
      </c>
      <c r="G52">
        <f t="shared" si="3"/>
        <v>0.15172999999776948</v>
      </c>
      <c r="I52">
        <f t="shared" si="4"/>
        <v>0.15172999999776948</v>
      </c>
      <c r="P52" s="64">
        <f t="shared" si="5"/>
        <v>0.13895672894322264</v>
      </c>
      <c r="Q52" s="2">
        <f t="shared" si="6"/>
        <v>16250.71</v>
      </c>
      <c r="R52" s="66">
        <f t="shared" si="7"/>
        <v>1.631564534329242E-4</v>
      </c>
      <c r="S52" s="68">
        <v>0.1</v>
      </c>
      <c r="T52" s="66">
        <f t="shared" si="8"/>
        <v>1.6315645343292421E-5</v>
      </c>
    </row>
    <row r="53" spans="1:21" x14ac:dyDescent="0.2">
      <c r="A53" s="47" t="s">
        <v>119</v>
      </c>
      <c r="B53" s="51" t="s">
        <v>39</v>
      </c>
      <c r="C53" s="48">
        <v>31298.29</v>
      </c>
      <c r="D53" s="48" t="s">
        <v>59</v>
      </c>
      <c r="E53">
        <f t="shared" ref="E53:E72" si="9">+(C53-C$7)/C$8</f>
        <v>-8749.9365499254072</v>
      </c>
      <c r="F53">
        <f t="shared" ref="F53:F74" si="10">ROUND(2*E53,0)/2</f>
        <v>-8750</v>
      </c>
      <c r="G53">
        <f t="shared" si="3"/>
        <v>0.15374999999767169</v>
      </c>
      <c r="I53">
        <f t="shared" si="4"/>
        <v>0.15374999999767169</v>
      </c>
      <c r="P53" s="64">
        <f t="shared" si="5"/>
        <v>0.138334327687159</v>
      </c>
      <c r="Q53" s="2">
        <f t="shared" ref="Q53:Q72" si="11">+C53-15018.5</f>
        <v>16279.79</v>
      </c>
      <c r="R53" s="66">
        <f t="shared" si="7"/>
        <v>2.3764295278510766E-4</v>
      </c>
      <c r="S53" s="68">
        <v>0.1</v>
      </c>
      <c r="T53" s="66">
        <f t="shared" si="8"/>
        <v>2.3764295278510767E-5</v>
      </c>
    </row>
    <row r="54" spans="1:21" x14ac:dyDescent="0.2">
      <c r="A54" s="47" t="s">
        <v>119</v>
      </c>
      <c r="B54" s="51" t="s">
        <v>39</v>
      </c>
      <c r="C54" s="48">
        <v>31315.25</v>
      </c>
      <c r="D54" s="48" t="s">
        <v>59</v>
      </c>
      <c r="E54">
        <f t="shared" si="9"/>
        <v>-8742.9374392581612</v>
      </c>
      <c r="F54">
        <f t="shared" si="10"/>
        <v>-8743</v>
      </c>
      <c r="G54">
        <f t="shared" si="3"/>
        <v>0.15159499999936088</v>
      </c>
      <c r="I54">
        <f t="shared" si="4"/>
        <v>0.15159499999936088</v>
      </c>
      <c r="P54" s="64">
        <f t="shared" si="5"/>
        <v>0.13797178059837692</v>
      </c>
      <c r="Q54" s="2">
        <f t="shared" si="11"/>
        <v>16296.75</v>
      </c>
      <c r="R54" s="66">
        <f t="shared" si="7"/>
        <v>1.8559210684734577E-4</v>
      </c>
      <c r="S54" s="68">
        <v>0.1</v>
      </c>
      <c r="T54" s="66">
        <f t="shared" si="8"/>
        <v>1.8559210684734578E-5</v>
      </c>
    </row>
    <row r="55" spans="1:21" x14ac:dyDescent="0.2">
      <c r="A55" s="47" t="s">
        <v>106</v>
      </c>
      <c r="B55" s="51" t="s">
        <v>39</v>
      </c>
      <c r="C55" s="48">
        <v>31776.2</v>
      </c>
      <c r="D55" s="48" t="s">
        <v>59</v>
      </c>
      <c r="E55">
        <f t="shared" si="9"/>
        <v>-8552.7110205041754</v>
      </c>
      <c r="F55">
        <f t="shared" si="10"/>
        <v>-8552.5</v>
      </c>
      <c r="P55" s="64">
        <f t="shared" si="5"/>
        <v>0.12825250877620797</v>
      </c>
      <c r="Q55" s="2">
        <f t="shared" si="11"/>
        <v>16757.7</v>
      </c>
      <c r="R55" s="66">
        <f t="shared" si="7"/>
        <v>1.6448706007391303E-2</v>
      </c>
      <c r="S55" s="68"/>
      <c r="T55" s="66">
        <f t="shared" si="8"/>
        <v>0</v>
      </c>
      <c r="U55">
        <f>+C55-(C$7+F55*C$8)</f>
        <v>-0.51133750000008149</v>
      </c>
    </row>
    <row r="56" spans="1:21" x14ac:dyDescent="0.2">
      <c r="A56" s="47" t="s">
        <v>162</v>
      </c>
      <c r="B56" s="51" t="s">
        <v>39</v>
      </c>
      <c r="C56" s="48">
        <v>36842.338000000003</v>
      </c>
      <c r="D56" s="48" t="s">
        <v>59</v>
      </c>
      <c r="E56">
        <f t="shared" si="9"/>
        <v>-6461.9999050828146</v>
      </c>
      <c r="F56">
        <f t="shared" si="10"/>
        <v>-6462</v>
      </c>
      <c r="G56">
        <f t="shared" ref="G56:G72" si="12">+C56-(C$7+F56*C$8)</f>
        <v>2.3000000510364771E-4</v>
      </c>
      <c r="I56">
        <f t="shared" ref="I56:I67" si="13">+G56</f>
        <v>2.3000000510364771E-4</v>
      </c>
      <c r="P56" s="64">
        <f t="shared" si="5"/>
        <v>4.0250240880304905E-2</v>
      </c>
      <c r="Q56" s="2">
        <f t="shared" si="11"/>
        <v>21823.838000000003</v>
      </c>
      <c r="R56" s="66">
        <f t="shared" si="7"/>
        <v>1.6016196797091296E-3</v>
      </c>
      <c r="S56" s="68">
        <v>0.1</v>
      </c>
      <c r="T56" s="66">
        <f t="shared" si="8"/>
        <v>1.6016196797091298E-4</v>
      </c>
    </row>
    <row r="57" spans="1:21" x14ac:dyDescent="0.2">
      <c r="A57" s="47" t="s">
        <v>162</v>
      </c>
      <c r="B57" s="51" t="s">
        <v>39</v>
      </c>
      <c r="C57" s="48">
        <v>36842.383999999998</v>
      </c>
      <c r="D57" s="48" t="s">
        <v>59</v>
      </c>
      <c r="E57">
        <f t="shared" si="9"/>
        <v>-6461.9809216458652</v>
      </c>
      <c r="F57">
        <f t="shared" si="10"/>
        <v>-6462</v>
      </c>
      <c r="G57">
        <f t="shared" si="12"/>
        <v>4.6229999999923166E-2</v>
      </c>
      <c r="I57">
        <f t="shared" si="13"/>
        <v>4.6229999999923166E-2</v>
      </c>
      <c r="P57" s="64">
        <f t="shared" si="5"/>
        <v>4.0250240880304905E-2</v>
      </c>
      <c r="Q57" s="2">
        <f t="shared" si="11"/>
        <v>21823.883999999998</v>
      </c>
      <c r="R57" s="66">
        <f t="shared" si="7"/>
        <v>3.5757519128657762E-5</v>
      </c>
      <c r="S57" s="68">
        <v>0.1</v>
      </c>
      <c r="T57" s="66">
        <f t="shared" si="8"/>
        <v>3.5757519128657763E-6</v>
      </c>
    </row>
    <row r="58" spans="1:21" x14ac:dyDescent="0.2">
      <c r="A58" s="47" t="s">
        <v>162</v>
      </c>
      <c r="B58" s="51" t="s">
        <v>39</v>
      </c>
      <c r="C58" s="48">
        <v>36842.428</v>
      </c>
      <c r="D58" s="48" t="s">
        <v>59</v>
      </c>
      <c r="E58">
        <f t="shared" si="9"/>
        <v>-6461.962763575737</v>
      </c>
      <c r="F58">
        <f t="shared" si="10"/>
        <v>-6462</v>
      </c>
      <c r="G58">
        <f t="shared" si="12"/>
        <v>9.0230000001611188E-2</v>
      </c>
      <c r="I58">
        <f t="shared" si="13"/>
        <v>9.0230000001611188E-2</v>
      </c>
      <c r="P58" s="64">
        <f t="shared" si="5"/>
        <v>4.0250240880304905E-2</v>
      </c>
      <c r="Q58" s="2">
        <f t="shared" si="11"/>
        <v>21823.928</v>
      </c>
      <c r="R58" s="66">
        <f t="shared" si="7"/>
        <v>2.4979763218237988E-3</v>
      </c>
      <c r="S58" s="68">
        <v>0.1</v>
      </c>
      <c r="T58" s="66">
        <f t="shared" si="8"/>
        <v>2.4979763218237991E-4</v>
      </c>
    </row>
    <row r="59" spans="1:21" x14ac:dyDescent="0.2">
      <c r="A59" s="47" t="s">
        <v>162</v>
      </c>
      <c r="B59" s="51" t="s">
        <v>39</v>
      </c>
      <c r="C59" s="48">
        <v>36876.288</v>
      </c>
      <c r="D59" s="48" t="s">
        <v>59</v>
      </c>
      <c r="E59">
        <f t="shared" si="9"/>
        <v>-6447.9893032459622</v>
      </c>
      <c r="F59">
        <f t="shared" si="10"/>
        <v>-6448</v>
      </c>
      <c r="G59">
        <f t="shared" si="12"/>
        <v>2.592000000004191E-2</v>
      </c>
      <c r="I59">
        <f t="shared" si="13"/>
        <v>2.592000000004191E-2</v>
      </c>
      <c r="P59" s="64">
        <f t="shared" si="5"/>
        <v>3.9776155484466738E-2</v>
      </c>
      <c r="Q59" s="2">
        <f t="shared" si="11"/>
        <v>21857.788</v>
      </c>
      <c r="R59" s="66">
        <f t="shared" si="7"/>
        <v>1.9199304480855626E-4</v>
      </c>
      <c r="S59" s="68">
        <v>0.1</v>
      </c>
      <c r="T59" s="66">
        <f t="shared" si="8"/>
        <v>1.9199304480855626E-5</v>
      </c>
    </row>
    <row r="60" spans="1:21" x14ac:dyDescent="0.2">
      <c r="A60" s="47" t="s">
        <v>176</v>
      </c>
      <c r="B60" s="51" t="s">
        <v>39</v>
      </c>
      <c r="C60" s="48">
        <v>37375.468000000001</v>
      </c>
      <c r="D60" s="48" t="s">
        <v>59</v>
      </c>
      <c r="E60">
        <f t="shared" si="9"/>
        <v>-6241.9859976518319</v>
      </c>
      <c r="F60">
        <f t="shared" si="10"/>
        <v>-6242</v>
      </c>
      <c r="G60">
        <f t="shared" si="12"/>
        <v>3.3929999997781124E-2</v>
      </c>
      <c r="I60">
        <f t="shared" si="13"/>
        <v>3.3929999997781124E-2</v>
      </c>
      <c r="P60" s="64">
        <f t="shared" si="5"/>
        <v>3.2977624328140262E-2</v>
      </c>
      <c r="Q60" s="2">
        <f t="shared" si="11"/>
        <v>22356.968000000001</v>
      </c>
      <c r="R60" s="66">
        <f t="shared" si="7"/>
        <v>9.0701941612388024E-7</v>
      </c>
      <c r="S60" s="68">
        <v>0.1</v>
      </c>
      <c r="T60" s="66">
        <f t="shared" si="8"/>
        <v>9.0701941612388024E-8</v>
      </c>
    </row>
    <row r="61" spans="1:21" x14ac:dyDescent="0.2">
      <c r="A61" s="47" t="s">
        <v>176</v>
      </c>
      <c r="B61" s="51" t="s">
        <v>39</v>
      </c>
      <c r="C61" s="48">
        <v>37906.107000000004</v>
      </c>
      <c r="D61" s="48" t="s">
        <v>59</v>
      </c>
      <c r="E61">
        <f t="shared" si="9"/>
        <v>-6023.0000846000985</v>
      </c>
      <c r="F61">
        <f t="shared" si="10"/>
        <v>-6023</v>
      </c>
      <c r="G61">
        <f t="shared" si="12"/>
        <v>-2.0499999664025381E-4</v>
      </c>
      <c r="I61">
        <f t="shared" si="13"/>
        <v>-2.0499999664025381E-4</v>
      </c>
      <c r="P61" s="64">
        <f t="shared" si="5"/>
        <v>2.6114179261340964E-2</v>
      </c>
      <c r="Q61" s="2">
        <f t="shared" si="11"/>
        <v>22887.607000000004</v>
      </c>
      <c r="R61" s="66">
        <f t="shared" si="7"/>
        <v>6.9269919681374875E-4</v>
      </c>
      <c r="S61" s="68">
        <v>0.1</v>
      </c>
      <c r="T61" s="66">
        <f t="shared" si="8"/>
        <v>6.9269919681374883E-5</v>
      </c>
    </row>
    <row r="62" spans="1:21" x14ac:dyDescent="0.2">
      <c r="A62" s="47" t="s">
        <v>176</v>
      </c>
      <c r="B62" s="51" t="s">
        <v>39</v>
      </c>
      <c r="C62" s="48">
        <v>38087.853999999999</v>
      </c>
      <c r="D62" s="48" t="s">
        <v>59</v>
      </c>
      <c r="E62">
        <f t="shared" si="9"/>
        <v>-5947.9961125222599</v>
      </c>
      <c r="F62">
        <f t="shared" si="10"/>
        <v>-5948</v>
      </c>
      <c r="G62">
        <f t="shared" si="12"/>
        <v>9.4199999948614277E-3</v>
      </c>
      <c r="I62">
        <f t="shared" si="13"/>
        <v>9.4199999948614277E-3</v>
      </c>
      <c r="P62" s="64">
        <f t="shared" si="5"/>
        <v>2.3849946394045279E-2</v>
      </c>
      <c r="Q62" s="2">
        <f t="shared" si="11"/>
        <v>23069.353999999999</v>
      </c>
      <c r="R62" s="66">
        <f t="shared" si="7"/>
        <v>2.0822335308331901E-4</v>
      </c>
      <c r="S62" s="68">
        <v>0.1</v>
      </c>
      <c r="T62" s="66">
        <f t="shared" si="8"/>
        <v>2.0822335308331903E-5</v>
      </c>
    </row>
    <row r="63" spans="1:21" x14ac:dyDescent="0.2">
      <c r="A63" s="53" t="s">
        <v>44</v>
      </c>
      <c r="B63" s="28"/>
      <c r="C63" s="53">
        <v>38291.339999999997</v>
      </c>
      <c r="D63" s="10"/>
      <c r="E63">
        <f t="shared" si="9"/>
        <v>-5864.0208157513025</v>
      </c>
      <c r="F63">
        <f t="shared" si="10"/>
        <v>-5864</v>
      </c>
      <c r="G63">
        <f t="shared" si="12"/>
        <v>-5.0440000006346963E-2</v>
      </c>
      <c r="I63">
        <f t="shared" si="13"/>
        <v>-5.0440000006346963E-2</v>
      </c>
      <c r="P63" s="64">
        <f t="shared" si="5"/>
        <v>2.1366255719651311E-2</v>
      </c>
      <c r="Q63" s="2">
        <f t="shared" si="11"/>
        <v>23272.839999999997</v>
      </c>
      <c r="R63" s="66">
        <f t="shared" si="7"/>
        <v>5.1561383613874601E-3</v>
      </c>
      <c r="S63" s="68">
        <v>0.1</v>
      </c>
      <c r="T63" s="66">
        <f t="shared" si="8"/>
        <v>5.1561383613874608E-4</v>
      </c>
    </row>
    <row r="64" spans="1:21" x14ac:dyDescent="0.2">
      <c r="A64" s="47" t="s">
        <v>176</v>
      </c>
      <c r="B64" s="51" t="s">
        <v>39</v>
      </c>
      <c r="C64" s="48">
        <v>38657.283000000003</v>
      </c>
      <c r="D64" s="48" t="s">
        <v>59</v>
      </c>
      <c r="E64">
        <f t="shared" si="9"/>
        <v>-5713.0022099196703</v>
      </c>
      <c r="F64">
        <f t="shared" si="10"/>
        <v>-5713</v>
      </c>
      <c r="G64">
        <f t="shared" si="12"/>
        <v>-5.3550000011455268E-3</v>
      </c>
      <c r="I64">
        <f t="shared" si="13"/>
        <v>-5.3550000011455268E-3</v>
      </c>
      <c r="O64">
        <f t="shared" ref="O64:O72" ca="1" si="14">+C$11+C$12*$F64</f>
        <v>-0.16701476511267266</v>
      </c>
      <c r="P64" s="64">
        <f t="shared" si="5"/>
        <v>1.7040347267203909E-2</v>
      </c>
      <c r="Q64" s="2">
        <f t="shared" si="11"/>
        <v>23638.783000000003</v>
      </c>
      <c r="R64" s="66">
        <f t="shared" si="7"/>
        <v>5.0155157926996656E-4</v>
      </c>
      <c r="S64" s="68">
        <v>0.1</v>
      </c>
      <c r="T64" s="66">
        <f t="shared" si="8"/>
        <v>5.0155157926996658E-5</v>
      </c>
    </row>
    <row r="65" spans="1:20" x14ac:dyDescent="0.2">
      <c r="A65" s="47" t="s">
        <v>176</v>
      </c>
      <c r="B65" s="51" t="s">
        <v>39</v>
      </c>
      <c r="C65" s="48">
        <v>39173.410000000003</v>
      </c>
      <c r="D65" s="48" t="s">
        <v>59</v>
      </c>
      <c r="E65">
        <f t="shared" si="9"/>
        <v>-5500.005158542649</v>
      </c>
      <c r="F65">
        <f t="shared" si="10"/>
        <v>-5500</v>
      </c>
      <c r="G65">
        <f t="shared" si="12"/>
        <v>-1.2499999997089617E-2</v>
      </c>
      <c r="I65">
        <f t="shared" si="13"/>
        <v>-1.2499999997089617E-2</v>
      </c>
      <c r="O65">
        <f t="shared" ca="1" si="14"/>
        <v>-0.16152492527922729</v>
      </c>
      <c r="P65" s="64">
        <f t="shared" si="5"/>
        <v>1.1241551681460626E-2</v>
      </c>
      <c r="Q65" s="2">
        <f t="shared" si="11"/>
        <v>24154.910000000003</v>
      </c>
      <c r="R65" s="66">
        <f t="shared" si="7"/>
        <v>5.6366127610527192E-4</v>
      </c>
      <c r="S65" s="68">
        <v>0.1</v>
      </c>
      <c r="T65" s="66">
        <f t="shared" si="8"/>
        <v>5.6366127610527196E-5</v>
      </c>
    </row>
    <row r="66" spans="1:20" x14ac:dyDescent="0.2">
      <c r="A66" s="47" t="s">
        <v>200</v>
      </c>
      <c r="B66" s="51" t="s">
        <v>39</v>
      </c>
      <c r="C66" s="48">
        <v>50283.624000000003</v>
      </c>
      <c r="D66" s="48" t="s">
        <v>59</v>
      </c>
      <c r="E66">
        <f t="shared" si="9"/>
        <v>-915.00413715120442</v>
      </c>
      <c r="F66">
        <f t="shared" si="10"/>
        <v>-915</v>
      </c>
      <c r="G66">
        <f t="shared" si="12"/>
        <v>-1.0024999995948747E-2</v>
      </c>
      <c r="I66">
        <f t="shared" si="13"/>
        <v>-1.0024999995948747E-2</v>
      </c>
      <c r="O66">
        <f t="shared" ca="1" si="14"/>
        <v>-4.3351612432528053E-2</v>
      </c>
      <c r="P66" s="64">
        <f t="shared" si="5"/>
        <v>-2.7520451628539021E-2</v>
      </c>
      <c r="Q66" s="2">
        <f t="shared" si="11"/>
        <v>35265.124000000003</v>
      </c>
      <c r="R66" s="66">
        <f t="shared" si="7"/>
        <v>3.0609082782830571E-4</v>
      </c>
      <c r="S66" s="68">
        <v>0.1</v>
      </c>
      <c r="T66" s="66">
        <f t="shared" si="8"/>
        <v>3.0609082782830569E-5</v>
      </c>
    </row>
    <row r="67" spans="1:20" x14ac:dyDescent="0.2">
      <c r="A67" s="29" t="s">
        <v>40</v>
      </c>
      <c r="B67" s="28" t="s">
        <v>39</v>
      </c>
      <c r="C67" s="29">
        <v>52500.83</v>
      </c>
      <c r="D67" s="26"/>
      <c r="E67">
        <f t="shared" si="9"/>
        <v>0</v>
      </c>
      <c r="F67">
        <f t="shared" si="10"/>
        <v>0</v>
      </c>
      <c r="G67">
        <f t="shared" si="12"/>
        <v>0</v>
      </c>
      <c r="I67">
        <f t="shared" si="13"/>
        <v>0</v>
      </c>
      <c r="O67">
        <f t="shared" ca="1" si="14"/>
        <v>-1.9768497655051537E-2</v>
      </c>
      <c r="P67" s="64">
        <f t="shared" si="5"/>
        <v>-1.5568252111308455E-2</v>
      </c>
      <c r="Q67" s="2">
        <f t="shared" si="11"/>
        <v>37482.33</v>
      </c>
      <c r="R67" s="66">
        <f t="shared" si="7"/>
        <v>2.4237047380126016E-4</v>
      </c>
      <c r="S67" s="68">
        <v>0.1</v>
      </c>
      <c r="T67" s="66">
        <f t="shared" si="8"/>
        <v>2.4237047380126019E-5</v>
      </c>
    </row>
    <row r="68" spans="1:20" x14ac:dyDescent="0.2">
      <c r="A68" s="47" t="s">
        <v>207</v>
      </c>
      <c r="B68" s="51" t="s">
        <v>39</v>
      </c>
      <c r="C68" s="48">
        <v>54308.509599999998</v>
      </c>
      <c r="D68" s="48" t="s">
        <v>59</v>
      </c>
      <c r="E68">
        <f t="shared" si="9"/>
        <v>745.99938510171444</v>
      </c>
      <c r="F68">
        <f t="shared" si="10"/>
        <v>746</v>
      </c>
      <c r="G68">
        <f t="shared" si="12"/>
        <v>-1.4900000023772009E-3</v>
      </c>
      <c r="I68">
        <f>+G68</f>
        <v>-1.4900000023772009E-3</v>
      </c>
      <c r="O68">
        <f t="shared" ca="1" si="14"/>
        <v>-5.411712900269712E-4</v>
      </c>
      <c r="P68" s="64">
        <f t="shared" si="5"/>
        <v>-9.7609872805186782E-4</v>
      </c>
      <c r="Q68" s="2">
        <f t="shared" si="11"/>
        <v>39290.009599999998</v>
      </c>
      <c r="R68" s="66">
        <f t="shared" si="7"/>
        <v>2.6409451975320119E-7</v>
      </c>
      <c r="S68" s="68">
        <v>1</v>
      </c>
      <c r="T68" s="66">
        <f t="shared" si="8"/>
        <v>2.6409451975320119E-7</v>
      </c>
    </row>
    <row r="69" spans="1:20" x14ac:dyDescent="0.2">
      <c r="A69" s="47" t="s">
        <v>207</v>
      </c>
      <c r="B69" s="51" t="s">
        <v>39</v>
      </c>
      <c r="C69" s="48">
        <v>54325.474199999997</v>
      </c>
      <c r="D69" s="48" t="s">
        <v>59</v>
      </c>
      <c r="E69">
        <f t="shared" si="9"/>
        <v>753.00039411265641</v>
      </c>
      <c r="F69">
        <f t="shared" si="10"/>
        <v>753</v>
      </c>
      <c r="G69">
        <f t="shared" si="12"/>
        <v>9.5499999588355422E-4</v>
      </c>
      <c r="I69">
        <f>+G69</f>
        <v>9.5499999588355422E-4</v>
      </c>
      <c r="O69">
        <f t="shared" ca="1" si="14"/>
        <v>-3.6075401850529237E-4</v>
      </c>
      <c r="P69" s="64">
        <f t="shared" si="5"/>
        <v>-8.185543066288165E-4</v>
      </c>
      <c r="Q69" s="2">
        <f t="shared" si="11"/>
        <v>39306.974199999997</v>
      </c>
      <c r="R69" s="66">
        <f t="shared" si="7"/>
        <v>3.1454948639601418E-6</v>
      </c>
      <c r="S69" s="68">
        <v>1</v>
      </c>
      <c r="T69" s="66">
        <f t="shared" si="8"/>
        <v>3.1454948639601418E-6</v>
      </c>
    </row>
    <row r="70" spans="1:20" x14ac:dyDescent="0.2">
      <c r="A70" s="47" t="s">
        <v>216</v>
      </c>
      <c r="B70" s="51" t="s">
        <v>39</v>
      </c>
      <c r="C70" s="48">
        <v>54703.490299999998</v>
      </c>
      <c r="D70" s="48" t="s">
        <v>59</v>
      </c>
      <c r="E70">
        <f t="shared" si="9"/>
        <v>909.00136804550903</v>
      </c>
      <c r="F70">
        <f t="shared" si="10"/>
        <v>909</v>
      </c>
      <c r="G70">
        <f t="shared" si="12"/>
        <v>3.3149999944726005E-3</v>
      </c>
      <c r="I70">
        <f>+G70</f>
        <v>3.3149999944726005E-3</v>
      </c>
      <c r="O70">
        <f t="shared" ca="1" si="14"/>
        <v>3.6599737468349658E-3</v>
      </c>
      <c r="P70" s="64">
        <f t="shared" si="5"/>
        <v>2.7919127816300481E-3</v>
      </c>
      <c r="Q70" s="2">
        <f t="shared" si="11"/>
        <v>39684.990299999998</v>
      </c>
      <c r="R70" s="66">
        <f t="shared" si="7"/>
        <v>2.736202322393897E-7</v>
      </c>
      <c r="S70" s="68">
        <v>1</v>
      </c>
      <c r="T70" s="66">
        <f t="shared" si="8"/>
        <v>2.736202322393897E-7</v>
      </c>
    </row>
    <row r="71" spans="1:20" x14ac:dyDescent="0.2">
      <c r="A71" s="32" t="s">
        <v>48</v>
      </c>
      <c r="B71" s="50"/>
      <c r="C71" s="33">
        <v>55396.523300000001</v>
      </c>
      <c r="D71" s="33">
        <v>3.0000000000000001E-3</v>
      </c>
      <c r="E71">
        <f t="shared" si="9"/>
        <v>1195.0045911029579</v>
      </c>
      <c r="F71">
        <f t="shared" si="10"/>
        <v>1195</v>
      </c>
      <c r="G71">
        <f t="shared" si="12"/>
        <v>1.112499999726424E-2</v>
      </c>
      <c r="J71">
        <f>+G71</f>
        <v>1.112499999726424E-2</v>
      </c>
      <c r="O71">
        <f t="shared" ca="1" si="14"/>
        <v>1.1031307983292105E-2</v>
      </c>
      <c r="P71" s="64">
        <f t="shared" si="5"/>
        <v>9.9056400531687839E-3</v>
      </c>
      <c r="Q71" s="2">
        <f t="shared" si="11"/>
        <v>40378.023300000001</v>
      </c>
      <c r="R71" s="66">
        <f t="shared" si="7"/>
        <v>1.4868386732644736E-6</v>
      </c>
      <c r="S71" s="68">
        <v>1</v>
      </c>
      <c r="T71" s="66">
        <f t="shared" si="8"/>
        <v>1.4868386732644736E-6</v>
      </c>
    </row>
    <row r="72" spans="1:20" x14ac:dyDescent="0.2">
      <c r="A72" s="30" t="s">
        <v>47</v>
      </c>
      <c r="B72" s="31" t="s">
        <v>39</v>
      </c>
      <c r="C72" s="30">
        <v>55813.311199999996</v>
      </c>
      <c r="D72" s="30">
        <v>2.9999999999999997E-4</v>
      </c>
      <c r="E72">
        <f t="shared" si="9"/>
        <v>1367.0060437485663</v>
      </c>
      <c r="F72">
        <f t="shared" si="10"/>
        <v>1367</v>
      </c>
      <c r="G72">
        <f t="shared" si="12"/>
        <v>1.4644999995653052E-2</v>
      </c>
      <c r="K72">
        <f>+G72</f>
        <v>1.4644999995653052E-2</v>
      </c>
      <c r="O72">
        <f t="shared" ca="1" si="14"/>
        <v>1.5464418083539058E-2</v>
      </c>
      <c r="P72" s="64">
        <f t="shared" si="5"/>
        <v>1.4492006037692524E-2</v>
      </c>
      <c r="Q72" s="2">
        <f t="shared" si="11"/>
        <v>40794.811199999996</v>
      </c>
      <c r="R72" s="66">
        <f t="shared" si="7"/>
        <v>2.3407151172427639E-8</v>
      </c>
      <c r="S72" s="68">
        <v>1</v>
      </c>
      <c r="T72" s="66">
        <f t="shared" si="8"/>
        <v>2.3407151172427639E-8</v>
      </c>
    </row>
    <row r="73" spans="1:20" x14ac:dyDescent="0.2">
      <c r="A73" s="54" t="s">
        <v>230</v>
      </c>
      <c r="B73" s="55" t="s">
        <v>39</v>
      </c>
      <c r="C73" s="56">
        <v>57589.511870000002</v>
      </c>
      <c r="D73" s="56">
        <v>1E-4</v>
      </c>
      <c r="E73">
        <f>+(C73-C$7)/C$8</f>
        <v>2100.0145966122818</v>
      </c>
      <c r="F73">
        <f t="shared" si="10"/>
        <v>2100</v>
      </c>
      <c r="G73">
        <f>+C73-(C$7+F73*C$8)</f>
        <v>3.5369999997783452E-2</v>
      </c>
      <c r="K73">
        <f>+G73</f>
        <v>3.5369999997783452E-2</v>
      </c>
      <c r="O73">
        <f ca="1">+C$11+C$12*$F73</f>
        <v>3.4356683801451939E-2</v>
      </c>
      <c r="P73" s="64">
        <f t="shared" si="5"/>
        <v>3.6632547951347891E-2</v>
      </c>
      <c r="Q73" s="2">
        <f>+C73-15018.5</f>
        <v>42571.011870000002</v>
      </c>
      <c r="R73" s="66">
        <f t="shared" si="7"/>
        <v>1.5940273350497516E-6</v>
      </c>
      <c r="S73" s="68">
        <v>1</v>
      </c>
      <c r="T73" s="66">
        <f t="shared" si="8"/>
        <v>1.5940273350497516E-6</v>
      </c>
    </row>
    <row r="74" spans="1:20" x14ac:dyDescent="0.2">
      <c r="A74" s="54" t="s">
        <v>230</v>
      </c>
      <c r="B74" s="55" t="s">
        <v>39</v>
      </c>
      <c r="C74" s="56">
        <v>57640.398500000003</v>
      </c>
      <c r="D74" s="56">
        <v>1E-4</v>
      </c>
      <c r="E74">
        <f>+(C74-C$7)/C$8</f>
        <v>2121.0146647050456</v>
      </c>
      <c r="F74">
        <f t="shared" si="10"/>
        <v>2121</v>
      </c>
      <c r="G74">
        <f>+C74-(C$7+F74*C$8)</f>
        <v>3.5535000002710149E-2</v>
      </c>
      <c r="K74">
        <f>+G74</f>
        <v>3.5535000002710149E-2</v>
      </c>
      <c r="O74">
        <f ca="1">+C$11+C$12*$F74</f>
        <v>3.4897935616016972E-2</v>
      </c>
      <c r="P74" s="64">
        <f t="shared" si="5"/>
        <v>3.7328805229535293E-2</v>
      </c>
      <c r="Q74" s="2">
        <f>+C74-15018.5</f>
        <v>42621.898500000003</v>
      </c>
      <c r="R74" s="66">
        <f t="shared" si="7"/>
        <v>3.2177371917852081E-6</v>
      </c>
      <c r="S74" s="68">
        <v>1</v>
      </c>
      <c r="T74" s="66">
        <f t="shared" si="8"/>
        <v>3.2177371917852081E-6</v>
      </c>
    </row>
    <row r="75" spans="1:20" x14ac:dyDescent="0.2">
      <c r="A75" s="74" t="s">
        <v>231</v>
      </c>
      <c r="B75" s="75" t="s">
        <v>39</v>
      </c>
      <c r="C75" s="76">
        <v>58747.795100000003</v>
      </c>
      <c r="D75" s="76">
        <v>6.9999999999999999E-4</v>
      </c>
      <c r="E75">
        <f>+(C75-C$7)/C$8</f>
        <v>2578.0188720124306</v>
      </c>
      <c r="F75">
        <f>ROUND(2*E75,0)/2</f>
        <v>2578</v>
      </c>
      <c r="G75">
        <f>+C75-(C$7+F75*C$8)</f>
        <v>4.5729999998002313E-2</v>
      </c>
      <c r="K75">
        <f>+G75</f>
        <v>4.5729999998002313E-2</v>
      </c>
      <c r="O75">
        <f ca="1">+C$11+C$12*$F75</f>
        <v>4.6676606056789388E-2</v>
      </c>
      <c r="P75" s="64">
        <f>+D$11+D$12*F75+D$13*F75^2</f>
        <v>5.3335274519880481E-2</v>
      </c>
      <c r="Q75" s="2">
        <f>+C75-15018.5</f>
        <v>43729.295100000003</v>
      </c>
      <c r="R75" s="66">
        <f>+(P75-G75)^2</f>
        <v>5.7840200553129193E-5</v>
      </c>
      <c r="S75" s="68">
        <v>1</v>
      </c>
      <c r="T75" s="66">
        <f>+S75*R75</f>
        <v>5.7840200553129193E-5</v>
      </c>
    </row>
    <row r="76" spans="1:20" x14ac:dyDescent="0.2">
      <c r="C76" s="10"/>
      <c r="D76" s="10"/>
      <c r="Q76" s="2"/>
    </row>
    <row r="77" spans="1:20" x14ac:dyDescent="0.2">
      <c r="C77" s="10"/>
      <c r="D77" s="10"/>
      <c r="Q77" s="2"/>
    </row>
    <row r="78" spans="1:20" x14ac:dyDescent="0.2">
      <c r="C78" s="10"/>
      <c r="D78" s="10"/>
      <c r="Q78" s="2"/>
    </row>
    <row r="79" spans="1:20" x14ac:dyDescent="0.2">
      <c r="C79" s="10"/>
      <c r="D79" s="10"/>
      <c r="Q79" s="2"/>
    </row>
    <row r="80" spans="1:20" x14ac:dyDescent="0.2">
      <c r="C80" s="10"/>
      <c r="D80" s="10"/>
      <c r="Q80" s="2"/>
    </row>
    <row r="81" spans="3:17" x14ac:dyDescent="0.2">
      <c r="C81" s="10"/>
      <c r="D81" s="10"/>
      <c r="Q81" s="2"/>
    </row>
    <row r="82" spans="3:17" x14ac:dyDescent="0.2">
      <c r="C82" s="10"/>
      <c r="D82" s="10"/>
      <c r="Q82" s="2"/>
    </row>
    <row r="83" spans="3:17" x14ac:dyDescent="0.2">
      <c r="C83" s="10"/>
      <c r="D83" s="10"/>
      <c r="Q83" s="2"/>
    </row>
    <row r="84" spans="3:17" x14ac:dyDescent="0.2">
      <c r="C84" s="10"/>
      <c r="D84" s="10"/>
      <c r="Q84" s="2"/>
    </row>
    <row r="85" spans="3:17" x14ac:dyDescent="0.2">
      <c r="C85" s="10"/>
      <c r="D85" s="10"/>
      <c r="Q85" s="2"/>
    </row>
    <row r="86" spans="3:17" x14ac:dyDescent="0.2">
      <c r="C86" s="10"/>
      <c r="D86" s="10"/>
      <c r="Q86" s="2"/>
    </row>
    <row r="87" spans="3:17" x14ac:dyDescent="0.2">
      <c r="C87" s="10"/>
      <c r="D87" s="10"/>
      <c r="Q87" s="2"/>
    </row>
    <row r="88" spans="3:17" x14ac:dyDescent="0.2">
      <c r="C88" s="10"/>
      <c r="D88" s="10"/>
      <c r="Q88" s="2"/>
    </row>
    <row r="89" spans="3:17" x14ac:dyDescent="0.2">
      <c r="C89" s="10"/>
      <c r="D89" s="10"/>
      <c r="Q89" s="2"/>
    </row>
    <row r="90" spans="3:17" x14ac:dyDescent="0.2">
      <c r="C90" s="10"/>
      <c r="D90" s="10"/>
      <c r="Q90" s="2"/>
    </row>
    <row r="91" spans="3:17" x14ac:dyDescent="0.2">
      <c r="C91" s="10"/>
      <c r="D91" s="10"/>
      <c r="Q91" s="2"/>
    </row>
    <row r="92" spans="3:17" x14ac:dyDescent="0.2">
      <c r="C92" s="10"/>
      <c r="D92" s="10"/>
      <c r="Q92" s="2"/>
    </row>
    <row r="93" spans="3:17" x14ac:dyDescent="0.2">
      <c r="C93" s="10"/>
      <c r="D93" s="10"/>
      <c r="Q93" s="2"/>
    </row>
    <row r="94" spans="3:17" x14ac:dyDescent="0.2">
      <c r="C94" s="10"/>
      <c r="D94" s="10"/>
      <c r="Q94" s="2"/>
    </row>
    <row r="95" spans="3:17" x14ac:dyDescent="0.2">
      <c r="C95" s="10"/>
      <c r="D95" s="10"/>
      <c r="Q95" s="2"/>
    </row>
    <row r="96" spans="3:17" x14ac:dyDescent="0.2">
      <c r="C96" s="10"/>
      <c r="D96" s="10"/>
      <c r="Q96" s="2"/>
    </row>
    <row r="97" spans="3:17" x14ac:dyDescent="0.2">
      <c r="C97" s="10"/>
      <c r="D97" s="10"/>
      <c r="Q97" s="2"/>
    </row>
    <row r="98" spans="3:17" x14ac:dyDescent="0.2">
      <c r="C98" s="10"/>
      <c r="D98" s="10"/>
      <c r="Q98" s="2"/>
    </row>
    <row r="99" spans="3:17" x14ac:dyDescent="0.2">
      <c r="C99" s="10"/>
      <c r="D99" s="10"/>
      <c r="Q99" s="2"/>
    </row>
    <row r="100" spans="3:17" x14ac:dyDescent="0.2">
      <c r="C100" s="10"/>
      <c r="D100" s="10"/>
    </row>
    <row r="101" spans="3:17" x14ac:dyDescent="0.2">
      <c r="C101" s="10"/>
      <c r="D101" s="10"/>
    </row>
    <row r="102" spans="3:17" x14ac:dyDescent="0.2">
      <c r="C102" s="10"/>
      <c r="D102" s="10"/>
    </row>
    <row r="103" spans="3:17" x14ac:dyDescent="0.2">
      <c r="C103" s="10"/>
      <c r="D103" s="10"/>
    </row>
    <row r="104" spans="3:17" x14ac:dyDescent="0.2">
      <c r="C104" s="10"/>
      <c r="D104" s="10"/>
    </row>
    <row r="105" spans="3:17" x14ac:dyDescent="0.2">
      <c r="C105" s="10"/>
      <c r="D105" s="10"/>
    </row>
    <row r="106" spans="3:17" x14ac:dyDescent="0.2">
      <c r="C106" s="10"/>
      <c r="D106" s="10"/>
    </row>
    <row r="107" spans="3:17" x14ac:dyDescent="0.2">
      <c r="C107" s="10"/>
      <c r="D107" s="10"/>
    </row>
    <row r="108" spans="3:17" x14ac:dyDescent="0.2">
      <c r="C108" s="10"/>
      <c r="D108" s="10"/>
    </row>
    <row r="109" spans="3:17" x14ac:dyDescent="0.2">
      <c r="C109" s="10"/>
      <c r="D109" s="10"/>
    </row>
    <row r="110" spans="3:17" x14ac:dyDescent="0.2">
      <c r="C110" s="10"/>
      <c r="D110" s="10"/>
    </row>
    <row r="111" spans="3:17" x14ac:dyDescent="0.2">
      <c r="C111" s="10"/>
      <c r="D111" s="10"/>
    </row>
    <row r="112" spans="3:17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rotectedRanges>
    <protectedRange sqref="A75:D75" name="Range1"/>
  </protectedRanges>
  <phoneticPr fontId="8" type="noConversion"/>
  <hyperlinks>
    <hyperlink ref="H832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0"/>
  <sheetViews>
    <sheetView topLeftCell="A10" workbookViewId="0">
      <selection activeCell="A14" sqref="A14:D6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49</v>
      </c>
      <c r="I1" s="35" t="s">
        <v>50</v>
      </c>
      <c r="J1" s="36" t="s">
        <v>51</v>
      </c>
    </row>
    <row r="2" spans="1:16" x14ac:dyDescent="0.2">
      <c r="I2" s="37" t="s">
        <v>52</v>
      </c>
      <c r="J2" s="38" t="s">
        <v>53</v>
      </c>
    </row>
    <row r="3" spans="1:16" x14ac:dyDescent="0.2">
      <c r="A3" s="39" t="s">
        <v>54</v>
      </c>
      <c r="I3" s="37" t="s">
        <v>55</v>
      </c>
      <c r="J3" s="38" t="s">
        <v>56</v>
      </c>
    </row>
    <row r="4" spans="1:16" x14ac:dyDescent="0.2">
      <c r="I4" s="37" t="s">
        <v>57</v>
      </c>
      <c r="J4" s="38" t="s">
        <v>56</v>
      </c>
    </row>
    <row r="5" spans="1:16" ht="13.5" thickBot="1" x14ac:dyDescent="0.25">
      <c r="I5" s="40" t="s">
        <v>58</v>
      </c>
      <c r="J5" s="41" t="s">
        <v>59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IBVS 35 </v>
      </c>
      <c r="B11" s="3" t="str">
        <f t="shared" ref="B11:B42" si="1">IF(H11=INT(H11),"I","II")</f>
        <v>I</v>
      </c>
      <c r="C11" s="10">
        <f t="shared" ref="C11:C42" si="2">1*G11</f>
        <v>38291.339999999997</v>
      </c>
      <c r="D11" s="12" t="str">
        <f t="shared" ref="D11:D42" si="3">VLOOKUP(F11,I$1:J$5,2,FALSE)</f>
        <v>vis</v>
      </c>
      <c r="E11" s="42">
        <f>VLOOKUP(C11,Active!C$21:E$973,3,FALSE)</f>
        <v>-5864.0208157513025</v>
      </c>
      <c r="F11" s="3" t="s">
        <v>58</v>
      </c>
      <c r="G11" s="12" t="str">
        <f t="shared" ref="G11:G42" si="4">MID(I11,3,LEN(I11)-3)</f>
        <v>38291.34</v>
      </c>
      <c r="H11" s="10">
        <f t="shared" ref="H11:H42" si="5">1*K11</f>
        <v>5157</v>
      </c>
      <c r="I11" s="43" t="s">
        <v>183</v>
      </c>
      <c r="J11" s="44" t="s">
        <v>184</v>
      </c>
      <c r="K11" s="43">
        <v>5157</v>
      </c>
      <c r="L11" s="43" t="s">
        <v>185</v>
      </c>
      <c r="M11" s="44" t="s">
        <v>99</v>
      </c>
      <c r="N11" s="44"/>
      <c r="O11" s="45" t="s">
        <v>186</v>
      </c>
      <c r="P11" s="46" t="s">
        <v>187</v>
      </c>
    </row>
    <row r="12" spans="1:16" ht="12.75" customHeight="1" thickBot="1" x14ac:dyDescent="0.25">
      <c r="A12" s="10" t="str">
        <f t="shared" si="0"/>
        <v>BAVM 215 </v>
      </c>
      <c r="B12" s="3" t="str">
        <f t="shared" si="1"/>
        <v>I</v>
      </c>
      <c r="C12" s="10">
        <f t="shared" si="2"/>
        <v>55396.523300000001</v>
      </c>
      <c r="D12" s="12" t="str">
        <f t="shared" si="3"/>
        <v>vis</v>
      </c>
      <c r="E12" s="42">
        <f>VLOOKUP(C12,Active!C$21:E$973,3,FALSE)</f>
        <v>1195.0045911029579</v>
      </c>
      <c r="F12" s="3" t="s">
        <v>58</v>
      </c>
      <c r="G12" s="12" t="str">
        <f t="shared" si="4"/>
        <v>55396.5233</v>
      </c>
      <c r="H12" s="10">
        <f t="shared" si="5"/>
        <v>12216</v>
      </c>
      <c r="I12" s="43" t="s">
        <v>217</v>
      </c>
      <c r="J12" s="44" t="s">
        <v>218</v>
      </c>
      <c r="K12" s="43" t="s">
        <v>219</v>
      </c>
      <c r="L12" s="43" t="s">
        <v>220</v>
      </c>
      <c r="M12" s="44" t="s">
        <v>204</v>
      </c>
      <c r="N12" s="44" t="s">
        <v>205</v>
      </c>
      <c r="O12" s="45" t="s">
        <v>206</v>
      </c>
      <c r="P12" s="46" t="s">
        <v>221</v>
      </c>
    </row>
    <row r="13" spans="1:16" ht="12.75" customHeight="1" thickBot="1" x14ac:dyDescent="0.25">
      <c r="A13" s="10" t="str">
        <f t="shared" si="0"/>
        <v>IBVS 6005 </v>
      </c>
      <c r="B13" s="3" t="str">
        <f t="shared" si="1"/>
        <v>I</v>
      </c>
      <c r="C13" s="10">
        <f t="shared" si="2"/>
        <v>55813.311199999996</v>
      </c>
      <c r="D13" s="12" t="str">
        <f t="shared" si="3"/>
        <v>vis</v>
      </c>
      <c r="E13" s="42">
        <f>VLOOKUP(C13,Active!C$21:E$973,3,FALSE)</f>
        <v>1367.0060437485663</v>
      </c>
      <c r="F13" s="3" t="s">
        <v>58</v>
      </c>
      <c r="G13" s="12" t="str">
        <f t="shared" si="4"/>
        <v>55813.3112</v>
      </c>
      <c r="H13" s="10">
        <f t="shared" si="5"/>
        <v>12388</v>
      </c>
      <c r="I13" s="43" t="s">
        <v>222</v>
      </c>
      <c r="J13" s="44" t="s">
        <v>223</v>
      </c>
      <c r="K13" s="43" t="s">
        <v>224</v>
      </c>
      <c r="L13" s="43" t="s">
        <v>225</v>
      </c>
      <c r="M13" s="44" t="s">
        <v>204</v>
      </c>
      <c r="N13" s="44" t="s">
        <v>226</v>
      </c>
      <c r="O13" s="45" t="s">
        <v>227</v>
      </c>
      <c r="P13" s="46" t="s">
        <v>228</v>
      </c>
    </row>
    <row r="14" spans="1:16" ht="12.75" customHeight="1" thickBot="1" x14ac:dyDescent="0.25">
      <c r="A14" s="10" t="str">
        <f t="shared" si="0"/>
        <v> VSS 1.152 </v>
      </c>
      <c r="B14" s="3" t="str">
        <f t="shared" si="1"/>
        <v>I</v>
      </c>
      <c r="C14" s="10">
        <f t="shared" si="2"/>
        <v>25795.5</v>
      </c>
      <c r="D14" s="12" t="str">
        <f t="shared" si="3"/>
        <v>vis</v>
      </c>
      <c r="E14" s="42">
        <f>VLOOKUP(C14,Active!C$21:E$973,3,FALSE)</f>
        <v>-11020.846702556368</v>
      </c>
      <c r="F14" s="3" t="s">
        <v>58</v>
      </c>
      <c r="G14" s="12" t="str">
        <f t="shared" si="4"/>
        <v>25795.50</v>
      </c>
      <c r="H14" s="10">
        <f t="shared" si="5"/>
        <v>0</v>
      </c>
      <c r="I14" s="43" t="s">
        <v>61</v>
      </c>
      <c r="J14" s="44" t="s">
        <v>62</v>
      </c>
      <c r="K14" s="43">
        <v>0</v>
      </c>
      <c r="L14" s="43" t="s">
        <v>63</v>
      </c>
      <c r="M14" s="44" t="s">
        <v>64</v>
      </c>
      <c r="N14" s="44"/>
      <c r="O14" s="45" t="s">
        <v>65</v>
      </c>
      <c r="P14" s="45" t="s">
        <v>66</v>
      </c>
    </row>
    <row r="15" spans="1:16" ht="12.75" customHeight="1" thickBot="1" x14ac:dyDescent="0.25">
      <c r="A15" s="10" t="str">
        <f t="shared" si="0"/>
        <v> VSS 1.152 </v>
      </c>
      <c r="B15" s="3" t="str">
        <f t="shared" si="1"/>
        <v>I</v>
      </c>
      <c r="C15" s="10">
        <f t="shared" si="2"/>
        <v>25807.51</v>
      </c>
      <c r="D15" s="12" t="str">
        <f t="shared" si="3"/>
        <v>vis</v>
      </c>
      <c r="E15" s="42">
        <f>VLOOKUP(C15,Active!C$21:E$973,3,FALSE)</f>
        <v>-11015.890374778442</v>
      </c>
      <c r="F15" s="3" t="s">
        <v>58</v>
      </c>
      <c r="G15" s="12" t="str">
        <f t="shared" si="4"/>
        <v>25807.51</v>
      </c>
      <c r="H15" s="10">
        <f t="shared" si="5"/>
        <v>5</v>
      </c>
      <c r="I15" s="43" t="s">
        <v>67</v>
      </c>
      <c r="J15" s="44" t="s">
        <v>68</v>
      </c>
      <c r="K15" s="43">
        <v>5</v>
      </c>
      <c r="L15" s="43" t="s">
        <v>69</v>
      </c>
      <c r="M15" s="44" t="s">
        <v>64</v>
      </c>
      <c r="N15" s="44"/>
      <c r="O15" s="45" t="s">
        <v>65</v>
      </c>
      <c r="P15" s="45" t="s">
        <v>66</v>
      </c>
    </row>
    <row r="16" spans="1:16" ht="12.75" customHeight="1" thickBot="1" x14ac:dyDescent="0.25">
      <c r="A16" s="10" t="str">
        <f t="shared" si="0"/>
        <v> VSS 1.152 </v>
      </c>
      <c r="B16" s="3" t="str">
        <f t="shared" si="1"/>
        <v>I</v>
      </c>
      <c r="C16" s="10">
        <f t="shared" si="2"/>
        <v>25909.33</v>
      </c>
      <c r="D16" s="12" t="str">
        <f t="shared" si="3"/>
        <v>vis</v>
      </c>
      <c r="E16" s="42">
        <f>VLOOKUP(C16,Active!C$21:E$973,3,FALSE)</f>
        <v>-10973.870949770238</v>
      </c>
      <c r="F16" s="3" t="s">
        <v>58</v>
      </c>
      <c r="G16" s="12" t="str">
        <f t="shared" si="4"/>
        <v>25909.33</v>
      </c>
      <c r="H16" s="10">
        <f t="shared" si="5"/>
        <v>47</v>
      </c>
      <c r="I16" s="43" t="s">
        <v>70</v>
      </c>
      <c r="J16" s="44" t="s">
        <v>71</v>
      </c>
      <c r="K16" s="43">
        <v>47</v>
      </c>
      <c r="L16" s="43" t="s">
        <v>72</v>
      </c>
      <c r="M16" s="44" t="s">
        <v>64</v>
      </c>
      <c r="N16" s="44"/>
      <c r="O16" s="45" t="s">
        <v>65</v>
      </c>
      <c r="P16" s="45" t="s">
        <v>66</v>
      </c>
    </row>
    <row r="17" spans="1:16" ht="12.75" customHeight="1" thickBot="1" x14ac:dyDescent="0.25">
      <c r="A17" s="10" t="str">
        <f t="shared" si="0"/>
        <v> VSS 1.152 </v>
      </c>
      <c r="B17" s="3" t="str">
        <f t="shared" si="1"/>
        <v>I</v>
      </c>
      <c r="C17" s="10">
        <f t="shared" si="2"/>
        <v>25921.29</v>
      </c>
      <c r="D17" s="12" t="str">
        <f t="shared" si="3"/>
        <v>vis</v>
      </c>
      <c r="E17" s="42">
        <f>VLOOKUP(C17,Active!C$21:E$973,3,FALSE)</f>
        <v>-10968.935256162911</v>
      </c>
      <c r="F17" s="3" t="s">
        <v>58</v>
      </c>
      <c r="G17" s="12" t="str">
        <f t="shared" si="4"/>
        <v>25921.29</v>
      </c>
      <c r="H17" s="10">
        <f t="shared" si="5"/>
        <v>52</v>
      </c>
      <c r="I17" s="43" t="s">
        <v>73</v>
      </c>
      <c r="J17" s="44" t="s">
        <v>74</v>
      </c>
      <c r="K17" s="43">
        <v>52</v>
      </c>
      <c r="L17" s="43" t="s">
        <v>75</v>
      </c>
      <c r="M17" s="44" t="s">
        <v>64</v>
      </c>
      <c r="N17" s="44"/>
      <c r="O17" s="45" t="s">
        <v>65</v>
      </c>
      <c r="P17" s="45" t="s">
        <v>66</v>
      </c>
    </row>
    <row r="18" spans="1:16" ht="12.75" customHeight="1" thickBot="1" x14ac:dyDescent="0.25">
      <c r="A18" s="10" t="str">
        <f t="shared" si="0"/>
        <v> VSS 1.152 </v>
      </c>
      <c r="B18" s="3" t="str">
        <f t="shared" si="1"/>
        <v>I</v>
      </c>
      <c r="C18" s="10">
        <f t="shared" si="2"/>
        <v>26219.47</v>
      </c>
      <c r="D18" s="12" t="str">
        <f t="shared" si="3"/>
        <v>vis</v>
      </c>
      <c r="E18" s="42">
        <f>VLOOKUP(C18,Active!C$21:E$973,3,FALSE)</f>
        <v>-10845.881316377549</v>
      </c>
      <c r="F18" s="3" t="s">
        <v>58</v>
      </c>
      <c r="G18" s="12" t="str">
        <f t="shared" si="4"/>
        <v>26219.47</v>
      </c>
      <c r="H18" s="10">
        <f t="shared" si="5"/>
        <v>175</v>
      </c>
      <c r="I18" s="43" t="s">
        <v>76</v>
      </c>
      <c r="J18" s="44" t="s">
        <v>77</v>
      </c>
      <c r="K18" s="43">
        <v>175</v>
      </c>
      <c r="L18" s="43" t="s">
        <v>78</v>
      </c>
      <c r="M18" s="44" t="s">
        <v>64</v>
      </c>
      <c r="N18" s="44"/>
      <c r="O18" s="45" t="s">
        <v>65</v>
      </c>
      <c r="P18" s="45" t="s">
        <v>66</v>
      </c>
    </row>
    <row r="19" spans="1:16" ht="12.75" customHeight="1" thickBot="1" x14ac:dyDescent="0.25">
      <c r="A19" s="10" t="str">
        <f t="shared" si="0"/>
        <v> VSS 1.152 </v>
      </c>
      <c r="B19" s="3" t="str">
        <f t="shared" si="1"/>
        <v>I</v>
      </c>
      <c r="C19" s="10">
        <f t="shared" si="2"/>
        <v>27668.39</v>
      </c>
      <c r="D19" s="12" t="str">
        <f t="shared" si="3"/>
        <v>vis</v>
      </c>
      <c r="E19" s="42">
        <f>VLOOKUP(C19,Active!C$21:E$973,3,FALSE)</f>
        <v>-10247.936067085817</v>
      </c>
      <c r="F19" s="3" t="s">
        <v>58</v>
      </c>
      <c r="G19" s="12" t="str">
        <f t="shared" si="4"/>
        <v>27668.39</v>
      </c>
      <c r="H19" s="10">
        <f t="shared" si="5"/>
        <v>773</v>
      </c>
      <c r="I19" s="43" t="s">
        <v>79</v>
      </c>
      <c r="J19" s="44" t="s">
        <v>80</v>
      </c>
      <c r="K19" s="43">
        <v>773</v>
      </c>
      <c r="L19" s="43" t="s">
        <v>81</v>
      </c>
      <c r="M19" s="44" t="s">
        <v>64</v>
      </c>
      <c r="N19" s="44"/>
      <c r="O19" s="45" t="s">
        <v>65</v>
      </c>
      <c r="P19" s="45" t="s">
        <v>66</v>
      </c>
    </row>
    <row r="20" spans="1:16" ht="12.75" customHeight="1" thickBot="1" x14ac:dyDescent="0.25">
      <c r="A20" s="10" t="str">
        <f t="shared" si="0"/>
        <v> VSS 1.152 </v>
      </c>
      <c r="B20" s="3" t="str">
        <f t="shared" si="1"/>
        <v>I</v>
      </c>
      <c r="C20" s="10">
        <f t="shared" si="2"/>
        <v>27685.39</v>
      </c>
      <c r="D20" s="12" t="str">
        <f t="shared" si="3"/>
        <v>vis</v>
      </c>
      <c r="E20" s="42">
        <f>VLOOKUP(C20,Active!C$21:E$973,3,FALSE)</f>
        <v>-10240.92044908209</v>
      </c>
      <c r="F20" s="3" t="s">
        <v>58</v>
      </c>
      <c r="G20" s="12" t="str">
        <f t="shared" si="4"/>
        <v>27685.39</v>
      </c>
      <c r="H20" s="10">
        <f t="shared" si="5"/>
        <v>780</v>
      </c>
      <c r="I20" s="43" t="s">
        <v>82</v>
      </c>
      <c r="J20" s="44" t="s">
        <v>83</v>
      </c>
      <c r="K20" s="43">
        <v>780</v>
      </c>
      <c r="L20" s="43" t="s">
        <v>84</v>
      </c>
      <c r="M20" s="44" t="s">
        <v>64</v>
      </c>
      <c r="N20" s="44"/>
      <c r="O20" s="45" t="s">
        <v>65</v>
      </c>
      <c r="P20" s="45" t="s">
        <v>66</v>
      </c>
    </row>
    <row r="21" spans="1:16" ht="12.75" customHeight="1" thickBot="1" x14ac:dyDescent="0.25">
      <c r="A21" s="10" t="str">
        <f t="shared" si="0"/>
        <v> VSS 1.152 </v>
      </c>
      <c r="B21" s="3" t="str">
        <f t="shared" si="1"/>
        <v>I</v>
      </c>
      <c r="C21" s="10">
        <f t="shared" si="2"/>
        <v>27719.37</v>
      </c>
      <c r="D21" s="12" t="str">
        <f t="shared" si="3"/>
        <v>vis</v>
      </c>
      <c r="E21" s="42">
        <f>VLOOKUP(C21,Active!C$21:E$973,3,FALSE)</f>
        <v>-10226.897466742877</v>
      </c>
      <c r="F21" s="3" t="s">
        <v>58</v>
      </c>
      <c r="G21" s="12" t="str">
        <f t="shared" si="4"/>
        <v>27719.37</v>
      </c>
      <c r="H21" s="10">
        <f t="shared" si="5"/>
        <v>794</v>
      </c>
      <c r="I21" s="43" t="s">
        <v>85</v>
      </c>
      <c r="J21" s="44" t="s">
        <v>86</v>
      </c>
      <c r="K21" s="43">
        <v>794</v>
      </c>
      <c r="L21" s="43" t="s">
        <v>87</v>
      </c>
      <c r="M21" s="44" t="s">
        <v>64</v>
      </c>
      <c r="N21" s="44"/>
      <c r="O21" s="45" t="s">
        <v>65</v>
      </c>
      <c r="P21" s="45" t="s">
        <v>66</v>
      </c>
    </row>
    <row r="22" spans="1:16" ht="12.75" customHeight="1" thickBot="1" x14ac:dyDescent="0.25">
      <c r="A22" s="10" t="str">
        <f t="shared" si="0"/>
        <v> VSS 1.152 </v>
      </c>
      <c r="B22" s="3" t="str">
        <f t="shared" si="1"/>
        <v>I</v>
      </c>
      <c r="C22" s="10">
        <f t="shared" si="2"/>
        <v>27932.560000000001</v>
      </c>
      <c r="D22" s="12" t="str">
        <f t="shared" si="3"/>
        <v>vis</v>
      </c>
      <c r="E22" s="42">
        <f>VLOOKUP(C22,Active!C$21:E$973,3,FALSE)</f>
        <v>-10138.917490142025</v>
      </c>
      <c r="F22" s="3" t="s">
        <v>58</v>
      </c>
      <c r="G22" s="12" t="str">
        <f t="shared" si="4"/>
        <v>27932.56</v>
      </c>
      <c r="H22" s="10">
        <f t="shared" si="5"/>
        <v>882</v>
      </c>
      <c r="I22" s="43" t="s">
        <v>88</v>
      </c>
      <c r="J22" s="44" t="s">
        <v>89</v>
      </c>
      <c r="K22" s="43">
        <v>882</v>
      </c>
      <c r="L22" s="43" t="s">
        <v>90</v>
      </c>
      <c r="M22" s="44" t="s">
        <v>64</v>
      </c>
      <c r="N22" s="44"/>
      <c r="O22" s="45" t="s">
        <v>65</v>
      </c>
      <c r="P22" s="45" t="s">
        <v>66</v>
      </c>
    </row>
    <row r="23" spans="1:16" ht="12.75" customHeight="1" thickBot="1" x14ac:dyDescent="0.25">
      <c r="A23" s="10" t="str">
        <f t="shared" si="0"/>
        <v> VSS 1.152 </v>
      </c>
      <c r="B23" s="3" t="str">
        <f t="shared" si="1"/>
        <v>I</v>
      </c>
      <c r="C23" s="10">
        <f t="shared" si="2"/>
        <v>27978.49</v>
      </c>
      <c r="D23" s="12" t="str">
        <f t="shared" si="3"/>
        <v>vis</v>
      </c>
      <c r="E23" s="42">
        <f>VLOOKUP(C23,Active!C$21:E$973,3,FALSE)</f>
        <v>-10119.962941029604</v>
      </c>
      <c r="F23" s="3" t="s">
        <v>58</v>
      </c>
      <c r="G23" s="12" t="str">
        <f t="shared" si="4"/>
        <v>27978.49</v>
      </c>
      <c r="H23" s="10">
        <f t="shared" si="5"/>
        <v>901</v>
      </c>
      <c r="I23" s="43" t="s">
        <v>91</v>
      </c>
      <c r="J23" s="44" t="s">
        <v>92</v>
      </c>
      <c r="K23" s="43">
        <v>901</v>
      </c>
      <c r="L23" s="43" t="s">
        <v>93</v>
      </c>
      <c r="M23" s="44" t="s">
        <v>64</v>
      </c>
      <c r="N23" s="44"/>
      <c r="O23" s="45" t="s">
        <v>65</v>
      </c>
      <c r="P23" s="45" t="s">
        <v>66</v>
      </c>
    </row>
    <row r="24" spans="1:16" ht="12.75" customHeight="1" thickBot="1" x14ac:dyDescent="0.25">
      <c r="A24" s="10" t="str">
        <f t="shared" si="0"/>
        <v> VSS 1.152 </v>
      </c>
      <c r="B24" s="3" t="str">
        <f t="shared" si="1"/>
        <v>I</v>
      </c>
      <c r="C24" s="10">
        <f t="shared" si="2"/>
        <v>28046.42</v>
      </c>
      <c r="D24" s="12" t="str">
        <f t="shared" si="3"/>
        <v>vis</v>
      </c>
      <c r="E24" s="42">
        <f>VLOOKUP(C24,Active!C$21:E$973,3,FALSE)</f>
        <v>-10091.929356853538</v>
      </c>
      <c r="F24" s="3" t="s">
        <v>58</v>
      </c>
      <c r="G24" s="12" t="str">
        <f t="shared" si="4"/>
        <v>28046.42</v>
      </c>
      <c r="H24" s="10">
        <f t="shared" si="5"/>
        <v>929</v>
      </c>
      <c r="I24" s="43" t="s">
        <v>94</v>
      </c>
      <c r="J24" s="44" t="s">
        <v>95</v>
      </c>
      <c r="K24" s="43">
        <v>929</v>
      </c>
      <c r="L24" s="43" t="s">
        <v>96</v>
      </c>
      <c r="M24" s="44" t="s">
        <v>64</v>
      </c>
      <c r="N24" s="44"/>
      <c r="O24" s="45" t="s">
        <v>65</v>
      </c>
      <c r="P24" s="45" t="s">
        <v>66</v>
      </c>
    </row>
    <row r="25" spans="1:16" ht="12.75" customHeight="1" thickBot="1" x14ac:dyDescent="0.25">
      <c r="A25" s="10" t="str">
        <f t="shared" si="0"/>
        <v> AAC 4 (COVS) </v>
      </c>
      <c r="B25" s="3" t="str">
        <f t="shared" si="1"/>
        <v>I</v>
      </c>
      <c r="C25" s="10">
        <f t="shared" si="2"/>
        <v>28790.39</v>
      </c>
      <c r="D25" s="12" t="str">
        <f t="shared" si="3"/>
        <v>vis</v>
      </c>
      <c r="E25" s="42">
        <f>VLOOKUP(C25,Active!C$21:E$973,3,FALSE)</f>
        <v>-9784.9052788398658</v>
      </c>
      <c r="F25" s="3" t="s">
        <v>58</v>
      </c>
      <c r="G25" s="12" t="str">
        <f t="shared" si="4"/>
        <v>28790.39</v>
      </c>
      <c r="H25" s="10">
        <f t="shared" si="5"/>
        <v>1236</v>
      </c>
      <c r="I25" s="43" t="s">
        <v>97</v>
      </c>
      <c r="J25" s="44" t="s">
        <v>98</v>
      </c>
      <c r="K25" s="43">
        <v>1236</v>
      </c>
      <c r="L25" s="43" t="s">
        <v>87</v>
      </c>
      <c r="M25" s="44" t="s">
        <v>99</v>
      </c>
      <c r="N25" s="44"/>
      <c r="O25" s="45" t="s">
        <v>100</v>
      </c>
      <c r="P25" s="45" t="s">
        <v>101</v>
      </c>
    </row>
    <row r="26" spans="1:16" ht="12.75" customHeight="1" thickBot="1" x14ac:dyDescent="0.25">
      <c r="A26" s="10" t="str">
        <f t="shared" si="0"/>
        <v> AC 192.30 </v>
      </c>
      <c r="B26" s="3" t="str">
        <f t="shared" si="1"/>
        <v>I</v>
      </c>
      <c r="C26" s="10">
        <f t="shared" si="2"/>
        <v>28858.219000000001</v>
      </c>
      <c r="D26" s="12" t="str">
        <f t="shared" si="3"/>
        <v>vis</v>
      </c>
      <c r="E26" s="42">
        <f>VLOOKUP(C26,Active!C$21:E$973,3,FALSE)</f>
        <v>-9756.9133756884075</v>
      </c>
      <c r="F26" s="3" t="s">
        <v>58</v>
      </c>
      <c r="G26" s="12" t="str">
        <f t="shared" si="4"/>
        <v>28858.219</v>
      </c>
      <c r="H26" s="10">
        <f t="shared" si="5"/>
        <v>1264</v>
      </c>
      <c r="I26" s="43" t="s">
        <v>102</v>
      </c>
      <c r="J26" s="44" t="s">
        <v>103</v>
      </c>
      <c r="K26" s="43">
        <v>1264</v>
      </c>
      <c r="L26" s="43" t="s">
        <v>104</v>
      </c>
      <c r="M26" s="44" t="s">
        <v>99</v>
      </c>
      <c r="N26" s="44"/>
      <c r="O26" s="45" t="s">
        <v>105</v>
      </c>
      <c r="P26" s="45" t="s">
        <v>106</v>
      </c>
    </row>
    <row r="27" spans="1:16" ht="12.75" customHeight="1" thickBot="1" x14ac:dyDescent="0.25">
      <c r="A27" s="10" t="str">
        <f t="shared" si="0"/>
        <v> VSS 1.152 </v>
      </c>
      <c r="B27" s="3" t="str">
        <f t="shared" si="1"/>
        <v>I</v>
      </c>
      <c r="C27" s="10">
        <f t="shared" si="2"/>
        <v>30222.400000000001</v>
      </c>
      <c r="D27" s="12" t="str">
        <f t="shared" si="3"/>
        <v>vis</v>
      </c>
      <c r="E27" s="42">
        <f>VLOOKUP(C27,Active!C$21:E$973,3,FALSE)</f>
        <v>-9193.9385060447803</v>
      </c>
      <c r="F27" s="3" t="s">
        <v>58</v>
      </c>
      <c r="G27" s="12" t="str">
        <f t="shared" si="4"/>
        <v>30222.40</v>
      </c>
      <c r="H27" s="10">
        <f t="shared" si="5"/>
        <v>1827</v>
      </c>
      <c r="I27" s="43" t="s">
        <v>107</v>
      </c>
      <c r="J27" s="44" t="s">
        <v>108</v>
      </c>
      <c r="K27" s="43">
        <v>1827</v>
      </c>
      <c r="L27" s="43" t="s">
        <v>90</v>
      </c>
      <c r="M27" s="44" t="s">
        <v>64</v>
      </c>
      <c r="N27" s="44"/>
      <c r="O27" s="45" t="s">
        <v>65</v>
      </c>
      <c r="P27" s="45" t="s">
        <v>66</v>
      </c>
    </row>
    <row r="28" spans="1:16" ht="12.75" customHeight="1" thickBot="1" x14ac:dyDescent="0.25">
      <c r="A28" s="10" t="str">
        <f t="shared" si="0"/>
        <v> VSS 1.152 </v>
      </c>
      <c r="B28" s="3" t="str">
        <f t="shared" si="1"/>
        <v>I</v>
      </c>
      <c r="C28" s="10">
        <f t="shared" si="2"/>
        <v>30600.41</v>
      </c>
      <c r="D28" s="12" t="str">
        <f t="shared" si="3"/>
        <v>vis</v>
      </c>
      <c r="E28" s="42">
        <f>VLOOKUP(C28,Active!C$21:E$973,3,FALSE)</f>
        <v>-9037.9400494807414</v>
      </c>
      <c r="F28" s="3" t="s">
        <v>58</v>
      </c>
      <c r="G28" s="12" t="str">
        <f t="shared" si="4"/>
        <v>30600.41</v>
      </c>
      <c r="H28" s="10">
        <f t="shared" si="5"/>
        <v>1983</v>
      </c>
      <c r="I28" s="43" t="s">
        <v>109</v>
      </c>
      <c r="J28" s="44" t="s">
        <v>110</v>
      </c>
      <c r="K28" s="43">
        <v>1983</v>
      </c>
      <c r="L28" s="43" t="s">
        <v>90</v>
      </c>
      <c r="M28" s="44" t="s">
        <v>64</v>
      </c>
      <c r="N28" s="44"/>
      <c r="O28" s="45" t="s">
        <v>65</v>
      </c>
      <c r="P28" s="45" t="s">
        <v>66</v>
      </c>
    </row>
    <row r="29" spans="1:16" ht="12.75" customHeight="1" thickBot="1" x14ac:dyDescent="0.25">
      <c r="A29" s="10" t="str">
        <f t="shared" si="0"/>
        <v> VSS 1.152 </v>
      </c>
      <c r="B29" s="3" t="str">
        <f t="shared" si="1"/>
        <v>I</v>
      </c>
      <c r="C29" s="10">
        <f t="shared" si="2"/>
        <v>30605.3</v>
      </c>
      <c r="D29" s="12" t="str">
        <f t="shared" si="3"/>
        <v>vis</v>
      </c>
      <c r="E29" s="42">
        <f>VLOOKUP(C29,Active!C$21:E$973,3,FALSE)</f>
        <v>-9035.9220275961416</v>
      </c>
      <c r="F29" s="3" t="s">
        <v>58</v>
      </c>
      <c r="G29" s="12" t="str">
        <f t="shared" si="4"/>
        <v>30605.30</v>
      </c>
      <c r="H29" s="10">
        <f t="shared" si="5"/>
        <v>1985</v>
      </c>
      <c r="I29" s="43" t="s">
        <v>111</v>
      </c>
      <c r="J29" s="44" t="s">
        <v>112</v>
      </c>
      <c r="K29" s="43">
        <v>1985</v>
      </c>
      <c r="L29" s="43" t="s">
        <v>87</v>
      </c>
      <c r="M29" s="44" t="s">
        <v>64</v>
      </c>
      <c r="N29" s="44"/>
      <c r="O29" s="45" t="s">
        <v>65</v>
      </c>
      <c r="P29" s="45" t="s">
        <v>66</v>
      </c>
    </row>
    <row r="30" spans="1:16" ht="12.75" customHeight="1" thickBot="1" x14ac:dyDescent="0.25">
      <c r="A30" s="10" t="str">
        <f t="shared" si="0"/>
        <v> VSS 1.152 </v>
      </c>
      <c r="B30" s="3" t="str">
        <f t="shared" si="1"/>
        <v>I</v>
      </c>
      <c r="C30" s="10">
        <f t="shared" si="2"/>
        <v>30612.57</v>
      </c>
      <c r="D30" s="12" t="str">
        <f t="shared" si="3"/>
        <v>vis</v>
      </c>
      <c r="E30" s="42">
        <f>VLOOKUP(C30,Active!C$21:E$973,3,FALSE)</f>
        <v>-9032.9218191910168</v>
      </c>
      <c r="F30" s="3" t="s">
        <v>58</v>
      </c>
      <c r="G30" s="12" t="str">
        <f t="shared" si="4"/>
        <v>30612.57</v>
      </c>
      <c r="H30" s="10">
        <f t="shared" si="5"/>
        <v>1988</v>
      </c>
      <c r="I30" s="43" t="s">
        <v>113</v>
      </c>
      <c r="J30" s="44" t="s">
        <v>114</v>
      </c>
      <c r="K30" s="43">
        <v>1988</v>
      </c>
      <c r="L30" s="43" t="s">
        <v>87</v>
      </c>
      <c r="M30" s="44" t="s">
        <v>64</v>
      </c>
      <c r="N30" s="44"/>
      <c r="O30" s="45" t="s">
        <v>65</v>
      </c>
      <c r="P30" s="45" t="s">
        <v>66</v>
      </c>
    </row>
    <row r="31" spans="1:16" ht="12.75" customHeight="1" thickBot="1" x14ac:dyDescent="0.25">
      <c r="A31" s="10" t="str">
        <f t="shared" si="0"/>
        <v> IODE 4.2.12 </v>
      </c>
      <c r="B31" s="3" t="str">
        <f t="shared" si="1"/>
        <v>I</v>
      </c>
      <c r="C31" s="10">
        <f t="shared" si="2"/>
        <v>30908.17</v>
      </c>
      <c r="D31" s="12" t="str">
        <f t="shared" si="3"/>
        <v>vis</v>
      </c>
      <c r="E31" s="42">
        <f>VLOOKUP(C31,Active!C$21:E$973,3,FALSE)</f>
        <v>-8910.9326026085728</v>
      </c>
      <c r="F31" s="3" t="s">
        <v>58</v>
      </c>
      <c r="G31" s="12" t="str">
        <f t="shared" si="4"/>
        <v>30908.17</v>
      </c>
      <c r="H31" s="10">
        <f t="shared" si="5"/>
        <v>2110</v>
      </c>
      <c r="I31" s="43" t="s">
        <v>115</v>
      </c>
      <c r="J31" s="44" t="s">
        <v>116</v>
      </c>
      <c r="K31" s="43">
        <v>2110</v>
      </c>
      <c r="L31" s="43" t="s">
        <v>117</v>
      </c>
      <c r="M31" s="44" t="s">
        <v>99</v>
      </c>
      <c r="N31" s="44"/>
      <c r="O31" s="45" t="s">
        <v>118</v>
      </c>
      <c r="P31" s="45" t="s">
        <v>119</v>
      </c>
    </row>
    <row r="32" spans="1:16" ht="12.75" customHeight="1" thickBot="1" x14ac:dyDescent="0.25">
      <c r="A32" s="10" t="str">
        <f t="shared" si="0"/>
        <v> IODE 4.2.12 </v>
      </c>
      <c r="B32" s="3" t="str">
        <f t="shared" si="1"/>
        <v>I</v>
      </c>
      <c r="C32" s="10">
        <f t="shared" si="2"/>
        <v>30932.46</v>
      </c>
      <c r="D32" s="12" t="str">
        <f t="shared" si="3"/>
        <v>vis</v>
      </c>
      <c r="E32" s="42">
        <f>VLOOKUP(C32,Active!C$21:E$973,3,FALSE)</f>
        <v>-8900.908522531483</v>
      </c>
      <c r="F32" s="3" t="s">
        <v>58</v>
      </c>
      <c r="G32" s="12" t="str">
        <f t="shared" si="4"/>
        <v>30932.46</v>
      </c>
      <c r="H32" s="10">
        <f t="shared" si="5"/>
        <v>2120</v>
      </c>
      <c r="I32" s="43" t="s">
        <v>120</v>
      </c>
      <c r="J32" s="44" t="s">
        <v>121</v>
      </c>
      <c r="K32" s="43">
        <v>2120</v>
      </c>
      <c r="L32" s="43" t="s">
        <v>122</v>
      </c>
      <c r="M32" s="44" t="s">
        <v>99</v>
      </c>
      <c r="N32" s="44"/>
      <c r="O32" s="45" t="s">
        <v>118</v>
      </c>
      <c r="P32" s="45" t="s">
        <v>119</v>
      </c>
    </row>
    <row r="33" spans="1:16" ht="12.75" customHeight="1" thickBot="1" x14ac:dyDescent="0.25">
      <c r="A33" s="10" t="str">
        <f t="shared" si="0"/>
        <v> IODE 4.2.12 </v>
      </c>
      <c r="B33" s="3" t="str">
        <f t="shared" si="1"/>
        <v>I</v>
      </c>
      <c r="C33" s="10">
        <f t="shared" si="2"/>
        <v>30937.25</v>
      </c>
      <c r="D33" s="12" t="str">
        <f t="shared" si="3"/>
        <v>vis</v>
      </c>
      <c r="E33" s="42">
        <f>VLOOKUP(C33,Active!C$21:E$973,3,FALSE)</f>
        <v>-8898.9317689880809</v>
      </c>
      <c r="F33" s="3" t="s">
        <v>58</v>
      </c>
      <c r="G33" s="12" t="str">
        <f t="shared" si="4"/>
        <v>30937.25</v>
      </c>
      <c r="H33" s="10">
        <f t="shared" si="5"/>
        <v>2122</v>
      </c>
      <c r="I33" s="43" t="s">
        <v>123</v>
      </c>
      <c r="J33" s="44" t="s">
        <v>124</v>
      </c>
      <c r="K33" s="43">
        <v>2122</v>
      </c>
      <c r="L33" s="43" t="s">
        <v>117</v>
      </c>
      <c r="M33" s="44" t="s">
        <v>99</v>
      </c>
      <c r="N33" s="44"/>
      <c r="O33" s="45" t="s">
        <v>118</v>
      </c>
      <c r="P33" s="45" t="s">
        <v>119</v>
      </c>
    </row>
    <row r="34" spans="1:16" ht="12.75" customHeight="1" thickBot="1" x14ac:dyDescent="0.25">
      <c r="A34" s="10" t="str">
        <f t="shared" si="0"/>
        <v> AC 192.30 </v>
      </c>
      <c r="B34" s="3" t="str">
        <f t="shared" si="1"/>
        <v>I</v>
      </c>
      <c r="C34" s="10">
        <f t="shared" si="2"/>
        <v>30956.629000000001</v>
      </c>
      <c r="D34" s="12" t="str">
        <f t="shared" si="3"/>
        <v>vis</v>
      </c>
      <c r="E34" s="42">
        <f>VLOOKUP(C34,Active!C$21:E$973,3,FALSE)</f>
        <v>-8890.9343771472431</v>
      </c>
      <c r="F34" s="3" t="s">
        <v>58</v>
      </c>
      <c r="G34" s="12" t="str">
        <f t="shared" si="4"/>
        <v>30956.629</v>
      </c>
      <c r="H34" s="10">
        <f t="shared" si="5"/>
        <v>2130</v>
      </c>
      <c r="I34" s="43" t="s">
        <v>125</v>
      </c>
      <c r="J34" s="44" t="s">
        <v>126</v>
      </c>
      <c r="K34" s="43">
        <v>2130</v>
      </c>
      <c r="L34" s="43" t="s">
        <v>127</v>
      </c>
      <c r="M34" s="44" t="s">
        <v>99</v>
      </c>
      <c r="N34" s="44"/>
      <c r="O34" s="45" t="s">
        <v>105</v>
      </c>
      <c r="P34" s="45" t="s">
        <v>106</v>
      </c>
    </row>
    <row r="35" spans="1:16" ht="12.75" customHeight="1" thickBot="1" x14ac:dyDescent="0.25">
      <c r="A35" s="10" t="str">
        <f t="shared" si="0"/>
        <v> IODE 4.2.12 </v>
      </c>
      <c r="B35" s="3" t="str">
        <f t="shared" si="1"/>
        <v>I</v>
      </c>
      <c r="C35" s="10">
        <f t="shared" si="2"/>
        <v>30966.33</v>
      </c>
      <c r="D35" s="12" t="str">
        <f t="shared" si="3"/>
        <v>vis</v>
      </c>
      <c r="E35" s="42">
        <f>VLOOKUP(C35,Active!C$21:E$973,3,FALSE)</f>
        <v>-8886.9309353675872</v>
      </c>
      <c r="F35" s="3" t="s">
        <v>58</v>
      </c>
      <c r="G35" s="12" t="str">
        <f t="shared" si="4"/>
        <v>30966.33</v>
      </c>
      <c r="H35" s="10">
        <f t="shared" si="5"/>
        <v>2134</v>
      </c>
      <c r="I35" s="43" t="s">
        <v>128</v>
      </c>
      <c r="J35" s="44" t="s">
        <v>129</v>
      </c>
      <c r="K35" s="43">
        <v>2134</v>
      </c>
      <c r="L35" s="43" t="s">
        <v>117</v>
      </c>
      <c r="M35" s="44" t="s">
        <v>99</v>
      </c>
      <c r="N35" s="44"/>
      <c r="O35" s="45" t="s">
        <v>118</v>
      </c>
      <c r="P35" s="45" t="s">
        <v>119</v>
      </c>
    </row>
    <row r="36" spans="1:16" ht="12.75" customHeight="1" thickBot="1" x14ac:dyDescent="0.25">
      <c r="A36" s="10" t="str">
        <f t="shared" si="0"/>
        <v> IODE 4.2.12 </v>
      </c>
      <c r="B36" s="3" t="str">
        <f t="shared" si="1"/>
        <v>I</v>
      </c>
      <c r="C36" s="10">
        <f t="shared" si="2"/>
        <v>30971.119999999999</v>
      </c>
      <c r="D36" s="12" t="str">
        <f t="shared" si="3"/>
        <v>vis</v>
      </c>
      <c r="E36" s="42">
        <f>VLOOKUP(C36,Active!C$21:E$973,3,FALSE)</f>
        <v>-8884.9541818241851</v>
      </c>
      <c r="F36" s="3" t="s">
        <v>58</v>
      </c>
      <c r="G36" s="12" t="str">
        <f t="shared" si="4"/>
        <v>30971.12</v>
      </c>
      <c r="H36" s="10">
        <f t="shared" si="5"/>
        <v>2136</v>
      </c>
      <c r="I36" s="43" t="s">
        <v>130</v>
      </c>
      <c r="J36" s="44" t="s">
        <v>131</v>
      </c>
      <c r="K36" s="43">
        <v>2136</v>
      </c>
      <c r="L36" s="43" t="s">
        <v>96</v>
      </c>
      <c r="M36" s="44" t="s">
        <v>99</v>
      </c>
      <c r="N36" s="44"/>
      <c r="O36" s="45" t="s">
        <v>118</v>
      </c>
      <c r="P36" s="45" t="s">
        <v>119</v>
      </c>
    </row>
    <row r="37" spans="1:16" ht="12.75" customHeight="1" thickBot="1" x14ac:dyDescent="0.25">
      <c r="A37" s="10" t="str">
        <f t="shared" si="0"/>
        <v> IODE 4.2.12 </v>
      </c>
      <c r="B37" s="3" t="str">
        <f t="shared" si="1"/>
        <v>I</v>
      </c>
      <c r="C37" s="10">
        <f t="shared" si="2"/>
        <v>30995.38</v>
      </c>
      <c r="D37" s="12" t="str">
        <f t="shared" si="3"/>
        <v>vis</v>
      </c>
      <c r="E37" s="42">
        <f>VLOOKUP(C37,Active!C$21:E$973,3,FALSE)</f>
        <v>-8874.9424822494548</v>
      </c>
      <c r="F37" s="3" t="s">
        <v>58</v>
      </c>
      <c r="G37" s="12" t="str">
        <f t="shared" si="4"/>
        <v>30995.38</v>
      </c>
      <c r="H37" s="10">
        <f t="shared" si="5"/>
        <v>2146</v>
      </c>
      <c r="I37" s="43" t="s">
        <v>132</v>
      </c>
      <c r="J37" s="44" t="s">
        <v>133</v>
      </c>
      <c r="K37" s="43">
        <v>2146</v>
      </c>
      <c r="L37" s="43" t="s">
        <v>134</v>
      </c>
      <c r="M37" s="44" t="s">
        <v>99</v>
      </c>
      <c r="N37" s="44"/>
      <c r="O37" s="45" t="s">
        <v>118</v>
      </c>
      <c r="P37" s="45" t="s">
        <v>119</v>
      </c>
    </row>
    <row r="38" spans="1:16" ht="12.75" customHeight="1" thickBot="1" x14ac:dyDescent="0.25">
      <c r="A38" s="10" t="str">
        <f t="shared" si="0"/>
        <v> IODE 4.2.12 </v>
      </c>
      <c r="B38" s="3" t="str">
        <f t="shared" si="1"/>
        <v>I</v>
      </c>
      <c r="C38" s="10">
        <f t="shared" si="2"/>
        <v>31000.29</v>
      </c>
      <c r="D38" s="12" t="str">
        <f t="shared" si="3"/>
        <v>vis</v>
      </c>
      <c r="E38" s="42">
        <f>VLOOKUP(C38,Active!C$21:E$973,3,FALSE)</f>
        <v>-8872.9162066966146</v>
      </c>
      <c r="F38" s="3" t="s">
        <v>58</v>
      </c>
      <c r="G38" s="12" t="str">
        <f t="shared" si="4"/>
        <v>31000.29</v>
      </c>
      <c r="H38" s="10">
        <f t="shared" si="5"/>
        <v>2148</v>
      </c>
      <c r="I38" s="43" t="s">
        <v>135</v>
      </c>
      <c r="J38" s="44" t="s">
        <v>136</v>
      </c>
      <c r="K38" s="43">
        <v>2148</v>
      </c>
      <c r="L38" s="43" t="s">
        <v>72</v>
      </c>
      <c r="M38" s="44" t="s">
        <v>99</v>
      </c>
      <c r="N38" s="44"/>
      <c r="O38" s="45" t="s">
        <v>118</v>
      </c>
      <c r="P38" s="45" t="s">
        <v>119</v>
      </c>
    </row>
    <row r="39" spans="1:16" ht="12.75" customHeight="1" thickBot="1" x14ac:dyDescent="0.25">
      <c r="A39" s="10" t="str">
        <f t="shared" si="0"/>
        <v> IODE 4.2.12 </v>
      </c>
      <c r="B39" s="3" t="str">
        <f t="shared" si="1"/>
        <v>I</v>
      </c>
      <c r="C39" s="10">
        <f t="shared" si="2"/>
        <v>31150.5</v>
      </c>
      <c r="D39" s="12" t="str">
        <f t="shared" si="3"/>
        <v>vis</v>
      </c>
      <c r="E39" s="42">
        <f>VLOOKUP(C39,Active!C$21:E$973,3,FALSE)</f>
        <v>-8810.9270313825109</v>
      </c>
      <c r="F39" s="3" t="s">
        <v>58</v>
      </c>
      <c r="G39" s="12" t="str">
        <f t="shared" si="4"/>
        <v>31150.50</v>
      </c>
      <c r="H39" s="10">
        <f t="shared" si="5"/>
        <v>2210</v>
      </c>
      <c r="I39" s="43" t="s">
        <v>137</v>
      </c>
      <c r="J39" s="44" t="s">
        <v>138</v>
      </c>
      <c r="K39" s="43">
        <v>2210</v>
      </c>
      <c r="L39" s="43" t="s">
        <v>87</v>
      </c>
      <c r="M39" s="44" t="s">
        <v>99</v>
      </c>
      <c r="N39" s="44"/>
      <c r="O39" s="45" t="s">
        <v>118</v>
      </c>
      <c r="P39" s="45" t="s">
        <v>119</v>
      </c>
    </row>
    <row r="40" spans="1:16" ht="12.75" customHeight="1" thickBot="1" x14ac:dyDescent="0.25">
      <c r="A40" s="10" t="str">
        <f t="shared" si="0"/>
        <v> IODE 4.2.12 </v>
      </c>
      <c r="B40" s="3" t="str">
        <f t="shared" si="1"/>
        <v>I</v>
      </c>
      <c r="C40" s="10">
        <f t="shared" si="2"/>
        <v>31213.46</v>
      </c>
      <c r="D40" s="12" t="str">
        <f t="shared" si="3"/>
        <v>vis</v>
      </c>
      <c r="E40" s="42">
        <f>VLOOKUP(C40,Active!C$21:E$973,3,FALSE)</f>
        <v>-8784.944483764004</v>
      </c>
      <c r="F40" s="3" t="s">
        <v>58</v>
      </c>
      <c r="G40" s="12" t="str">
        <f t="shared" si="4"/>
        <v>31213.46</v>
      </c>
      <c r="H40" s="10">
        <f t="shared" si="5"/>
        <v>2236</v>
      </c>
      <c r="I40" s="43" t="s">
        <v>139</v>
      </c>
      <c r="J40" s="44" t="s">
        <v>140</v>
      </c>
      <c r="K40" s="43">
        <v>2236</v>
      </c>
      <c r="L40" s="43" t="s">
        <v>134</v>
      </c>
      <c r="M40" s="44" t="s">
        <v>99</v>
      </c>
      <c r="N40" s="44"/>
      <c r="O40" s="45" t="s">
        <v>118</v>
      </c>
      <c r="P40" s="45" t="s">
        <v>119</v>
      </c>
    </row>
    <row r="41" spans="1:16" ht="12.75" customHeight="1" thickBot="1" x14ac:dyDescent="0.25">
      <c r="A41" s="10" t="str">
        <f t="shared" si="0"/>
        <v> IODE 4.2.12 </v>
      </c>
      <c r="B41" s="3" t="str">
        <f t="shared" si="1"/>
        <v>I</v>
      </c>
      <c r="C41" s="10">
        <f t="shared" si="2"/>
        <v>31230.42</v>
      </c>
      <c r="D41" s="12" t="str">
        <f t="shared" si="3"/>
        <v>vis</v>
      </c>
      <c r="E41" s="42">
        <f>VLOOKUP(C41,Active!C$21:E$973,3,FALSE)</f>
        <v>-8777.945373096758</v>
      </c>
      <c r="F41" s="3" t="s">
        <v>58</v>
      </c>
      <c r="G41" s="12" t="str">
        <f t="shared" si="4"/>
        <v>31230.42</v>
      </c>
      <c r="H41" s="10">
        <f t="shared" si="5"/>
        <v>2243</v>
      </c>
      <c r="I41" s="43" t="s">
        <v>141</v>
      </c>
      <c r="J41" s="44" t="s">
        <v>142</v>
      </c>
      <c r="K41" s="43">
        <v>2243</v>
      </c>
      <c r="L41" s="43" t="s">
        <v>134</v>
      </c>
      <c r="M41" s="44" t="s">
        <v>99</v>
      </c>
      <c r="N41" s="44"/>
      <c r="O41" s="45" t="s">
        <v>118</v>
      </c>
      <c r="P41" s="45" t="s">
        <v>119</v>
      </c>
    </row>
    <row r="42" spans="1:16" ht="12.75" customHeight="1" thickBot="1" x14ac:dyDescent="0.25">
      <c r="A42" s="10" t="str">
        <f t="shared" si="0"/>
        <v> IODE 4.2.12 </v>
      </c>
      <c r="B42" s="3" t="str">
        <f t="shared" si="1"/>
        <v>I</v>
      </c>
      <c r="C42" s="10">
        <f t="shared" si="2"/>
        <v>31235.29</v>
      </c>
      <c r="D42" s="12" t="str">
        <f t="shared" si="3"/>
        <v>vis</v>
      </c>
      <c r="E42" s="42">
        <f>VLOOKUP(C42,Active!C$21:E$973,3,FALSE)</f>
        <v>-8775.9356048803947</v>
      </c>
      <c r="F42" s="3" t="s">
        <v>58</v>
      </c>
      <c r="G42" s="12" t="str">
        <f t="shared" si="4"/>
        <v>31235.29</v>
      </c>
      <c r="H42" s="10">
        <f t="shared" si="5"/>
        <v>2245</v>
      </c>
      <c r="I42" s="43" t="s">
        <v>143</v>
      </c>
      <c r="J42" s="44" t="s">
        <v>144</v>
      </c>
      <c r="K42" s="43">
        <v>2245</v>
      </c>
      <c r="L42" s="43" t="s">
        <v>117</v>
      </c>
      <c r="M42" s="44" t="s">
        <v>99</v>
      </c>
      <c r="N42" s="44"/>
      <c r="O42" s="45" t="s">
        <v>118</v>
      </c>
      <c r="P42" s="45" t="s">
        <v>119</v>
      </c>
    </row>
    <row r="43" spans="1:16" ht="12.75" customHeight="1" thickBot="1" x14ac:dyDescent="0.25">
      <c r="A43" s="10" t="str">
        <f t="shared" ref="A43:A61" si="6">P43</f>
        <v> IODE 4.2.12 </v>
      </c>
      <c r="B43" s="3" t="str">
        <f t="shared" ref="B43:B61" si="7">IF(H43=INT(H43),"I","II")</f>
        <v>I</v>
      </c>
      <c r="C43" s="10">
        <f t="shared" ref="C43:C61" si="8">1*G43</f>
        <v>31252.25</v>
      </c>
      <c r="D43" s="12" t="str">
        <f t="shared" ref="D43:D61" si="9">VLOOKUP(F43,I$1:J$5,2,FALSE)</f>
        <v>vis</v>
      </c>
      <c r="E43" s="42">
        <f>VLOOKUP(C43,Active!C$21:E$973,3,FALSE)</f>
        <v>-8768.9364942131469</v>
      </c>
      <c r="F43" s="3" t="s">
        <v>58</v>
      </c>
      <c r="G43" s="12" t="str">
        <f t="shared" ref="G43:G61" si="10">MID(I43,3,LEN(I43)-3)</f>
        <v>31252.25</v>
      </c>
      <c r="H43" s="10">
        <f t="shared" ref="H43:H61" si="11">1*K43</f>
        <v>2252</v>
      </c>
      <c r="I43" s="43" t="s">
        <v>145</v>
      </c>
      <c r="J43" s="44" t="s">
        <v>146</v>
      </c>
      <c r="K43" s="43">
        <v>2252</v>
      </c>
      <c r="L43" s="43" t="s">
        <v>117</v>
      </c>
      <c r="M43" s="44" t="s">
        <v>99</v>
      </c>
      <c r="N43" s="44"/>
      <c r="O43" s="45" t="s">
        <v>118</v>
      </c>
      <c r="P43" s="45" t="s">
        <v>119</v>
      </c>
    </row>
    <row r="44" spans="1:16" ht="12.75" customHeight="1" thickBot="1" x14ac:dyDescent="0.25">
      <c r="A44" s="10" t="str">
        <f t="shared" si="6"/>
        <v> IODE 4.2.12 </v>
      </c>
      <c r="B44" s="3" t="str">
        <f t="shared" si="7"/>
        <v>I</v>
      </c>
      <c r="C44" s="10">
        <f t="shared" si="8"/>
        <v>31259.5</v>
      </c>
      <c r="D44" s="12" t="str">
        <f t="shared" si="9"/>
        <v>vis</v>
      </c>
      <c r="E44" s="42">
        <f>VLOOKUP(C44,Active!C$21:E$973,3,FALSE)</f>
        <v>-8765.9445394762643</v>
      </c>
      <c r="F44" s="3" t="s">
        <v>58</v>
      </c>
      <c r="G44" s="12" t="str">
        <f t="shared" si="10"/>
        <v>31259.50</v>
      </c>
      <c r="H44" s="10">
        <f t="shared" si="11"/>
        <v>2255</v>
      </c>
      <c r="I44" s="43" t="s">
        <v>147</v>
      </c>
      <c r="J44" s="44" t="s">
        <v>148</v>
      </c>
      <c r="K44" s="43">
        <v>2255</v>
      </c>
      <c r="L44" s="43" t="s">
        <v>134</v>
      </c>
      <c r="M44" s="44" t="s">
        <v>99</v>
      </c>
      <c r="N44" s="44"/>
      <c r="O44" s="45" t="s">
        <v>118</v>
      </c>
      <c r="P44" s="45" t="s">
        <v>119</v>
      </c>
    </row>
    <row r="45" spans="1:16" ht="12.75" customHeight="1" thickBot="1" x14ac:dyDescent="0.25">
      <c r="A45" s="10" t="str">
        <f t="shared" si="6"/>
        <v> IODE 4.2.12 </v>
      </c>
      <c r="B45" s="3" t="str">
        <f t="shared" si="7"/>
        <v>I</v>
      </c>
      <c r="C45" s="10">
        <f t="shared" si="8"/>
        <v>31269.21</v>
      </c>
      <c r="D45" s="12" t="str">
        <f t="shared" si="9"/>
        <v>vis</v>
      </c>
      <c r="E45" s="42">
        <f>VLOOKUP(C45,Active!C$21:E$973,3,FALSE)</f>
        <v>-8761.937383545901</v>
      </c>
      <c r="F45" s="3" t="s">
        <v>58</v>
      </c>
      <c r="G45" s="12" t="str">
        <f t="shared" si="10"/>
        <v>31269.21</v>
      </c>
      <c r="H45" s="10">
        <f t="shared" si="11"/>
        <v>2259</v>
      </c>
      <c r="I45" s="43" t="s">
        <v>149</v>
      </c>
      <c r="J45" s="44" t="s">
        <v>150</v>
      </c>
      <c r="K45" s="43">
        <v>2259</v>
      </c>
      <c r="L45" s="43" t="s">
        <v>117</v>
      </c>
      <c r="M45" s="44" t="s">
        <v>99</v>
      </c>
      <c r="N45" s="44"/>
      <c r="O45" s="45" t="s">
        <v>118</v>
      </c>
      <c r="P45" s="45" t="s">
        <v>119</v>
      </c>
    </row>
    <row r="46" spans="1:16" ht="12.75" customHeight="1" thickBot="1" x14ac:dyDescent="0.25">
      <c r="A46" s="10" t="str">
        <f t="shared" si="6"/>
        <v> IODE 4.2.12 </v>
      </c>
      <c r="B46" s="3" t="str">
        <f t="shared" si="7"/>
        <v>I</v>
      </c>
      <c r="C46" s="10">
        <f t="shared" si="8"/>
        <v>31298.29</v>
      </c>
      <c r="D46" s="12" t="str">
        <f t="shared" si="9"/>
        <v>vis</v>
      </c>
      <c r="E46" s="42">
        <f>VLOOKUP(C46,Active!C$21:E$973,3,FALSE)</f>
        <v>-8749.9365499254072</v>
      </c>
      <c r="F46" s="3" t="s">
        <v>58</v>
      </c>
      <c r="G46" s="12" t="str">
        <f t="shared" si="10"/>
        <v>31298.29</v>
      </c>
      <c r="H46" s="10">
        <f t="shared" si="11"/>
        <v>2271</v>
      </c>
      <c r="I46" s="43" t="s">
        <v>151</v>
      </c>
      <c r="J46" s="44" t="s">
        <v>152</v>
      </c>
      <c r="K46" s="43">
        <v>2271</v>
      </c>
      <c r="L46" s="43" t="s">
        <v>117</v>
      </c>
      <c r="M46" s="44" t="s">
        <v>99</v>
      </c>
      <c r="N46" s="44"/>
      <c r="O46" s="45" t="s">
        <v>118</v>
      </c>
      <c r="P46" s="45" t="s">
        <v>119</v>
      </c>
    </row>
    <row r="47" spans="1:16" ht="12.75" customHeight="1" thickBot="1" x14ac:dyDescent="0.25">
      <c r="A47" s="10" t="str">
        <f t="shared" si="6"/>
        <v> IODE 4.2.12 </v>
      </c>
      <c r="B47" s="3" t="str">
        <f t="shared" si="7"/>
        <v>I</v>
      </c>
      <c r="C47" s="10">
        <f t="shared" si="8"/>
        <v>31315.25</v>
      </c>
      <c r="D47" s="12" t="str">
        <f t="shared" si="9"/>
        <v>vis</v>
      </c>
      <c r="E47" s="42">
        <f>VLOOKUP(C47,Active!C$21:E$973,3,FALSE)</f>
        <v>-8742.9374392581612</v>
      </c>
      <c r="F47" s="3" t="s">
        <v>58</v>
      </c>
      <c r="G47" s="12" t="str">
        <f t="shared" si="10"/>
        <v>31315.25</v>
      </c>
      <c r="H47" s="10">
        <f t="shared" si="11"/>
        <v>2278</v>
      </c>
      <c r="I47" s="43" t="s">
        <v>153</v>
      </c>
      <c r="J47" s="44" t="s">
        <v>154</v>
      </c>
      <c r="K47" s="43">
        <v>2278</v>
      </c>
      <c r="L47" s="43" t="s">
        <v>117</v>
      </c>
      <c r="M47" s="44" t="s">
        <v>99</v>
      </c>
      <c r="N47" s="44"/>
      <c r="O47" s="45" t="s">
        <v>118</v>
      </c>
      <c r="P47" s="45" t="s">
        <v>119</v>
      </c>
    </row>
    <row r="48" spans="1:16" ht="12.75" customHeight="1" thickBot="1" x14ac:dyDescent="0.25">
      <c r="A48" s="10" t="str">
        <f t="shared" si="6"/>
        <v> AC 192.30 </v>
      </c>
      <c r="B48" s="3" t="str">
        <f t="shared" si="7"/>
        <v>I</v>
      </c>
      <c r="C48" s="10">
        <f t="shared" si="8"/>
        <v>31776.2</v>
      </c>
      <c r="D48" s="12" t="str">
        <f t="shared" si="9"/>
        <v>vis</v>
      </c>
      <c r="E48" s="42">
        <f>VLOOKUP(C48,Active!C$21:E$973,3,FALSE)</f>
        <v>-8552.7110205041754</v>
      </c>
      <c r="F48" s="3" t="s">
        <v>58</v>
      </c>
      <c r="G48" s="12" t="str">
        <f t="shared" si="10"/>
        <v>31776.20</v>
      </c>
      <c r="H48" s="10">
        <f t="shared" si="11"/>
        <v>2468</v>
      </c>
      <c r="I48" s="43" t="s">
        <v>155</v>
      </c>
      <c r="J48" s="44" t="s">
        <v>156</v>
      </c>
      <c r="K48" s="43">
        <v>2468</v>
      </c>
      <c r="L48" s="43" t="s">
        <v>157</v>
      </c>
      <c r="M48" s="44" t="s">
        <v>60</v>
      </c>
      <c r="N48" s="44"/>
      <c r="O48" s="45" t="s">
        <v>105</v>
      </c>
      <c r="P48" s="45" t="s">
        <v>106</v>
      </c>
    </row>
    <row r="49" spans="1:16" ht="12.75" customHeight="1" thickBot="1" x14ac:dyDescent="0.25">
      <c r="A49" s="10" t="str">
        <f t="shared" si="6"/>
        <v> HABZ 7 </v>
      </c>
      <c r="B49" s="3" t="str">
        <f t="shared" si="7"/>
        <v>I</v>
      </c>
      <c r="C49" s="10">
        <f t="shared" si="8"/>
        <v>36842.338000000003</v>
      </c>
      <c r="D49" s="12" t="str">
        <f t="shared" si="9"/>
        <v>vis</v>
      </c>
      <c r="E49" s="42">
        <f>VLOOKUP(C49,Active!C$21:E$973,3,FALSE)</f>
        <v>-6461.9999050828146</v>
      </c>
      <c r="F49" s="3" t="s">
        <v>58</v>
      </c>
      <c r="G49" s="12" t="str">
        <f t="shared" si="10"/>
        <v>36842.338</v>
      </c>
      <c r="H49" s="10">
        <f t="shared" si="11"/>
        <v>4559</v>
      </c>
      <c r="I49" s="43" t="s">
        <v>158</v>
      </c>
      <c r="J49" s="44" t="s">
        <v>159</v>
      </c>
      <c r="K49" s="43">
        <v>4559</v>
      </c>
      <c r="L49" s="43" t="s">
        <v>160</v>
      </c>
      <c r="M49" s="44" t="s">
        <v>64</v>
      </c>
      <c r="N49" s="44"/>
      <c r="O49" s="45" t="s">
        <v>161</v>
      </c>
      <c r="P49" s="45" t="s">
        <v>162</v>
      </c>
    </row>
    <row r="50" spans="1:16" ht="12.75" customHeight="1" thickBot="1" x14ac:dyDescent="0.25">
      <c r="A50" s="10" t="str">
        <f t="shared" si="6"/>
        <v> HABZ 7 </v>
      </c>
      <c r="B50" s="3" t="str">
        <f t="shared" si="7"/>
        <v>I</v>
      </c>
      <c r="C50" s="10">
        <f t="shared" si="8"/>
        <v>36842.383999999998</v>
      </c>
      <c r="D50" s="12" t="str">
        <f t="shared" si="9"/>
        <v>vis</v>
      </c>
      <c r="E50" s="42">
        <f>VLOOKUP(C50,Active!C$21:E$973,3,FALSE)</f>
        <v>-6461.9809216458652</v>
      </c>
      <c r="F50" s="3" t="s">
        <v>58</v>
      </c>
      <c r="G50" s="12" t="str">
        <f t="shared" si="10"/>
        <v>36842.384</v>
      </c>
      <c r="H50" s="10">
        <f t="shared" si="11"/>
        <v>4559</v>
      </c>
      <c r="I50" s="43" t="s">
        <v>163</v>
      </c>
      <c r="J50" s="44" t="s">
        <v>164</v>
      </c>
      <c r="K50" s="43">
        <v>4559</v>
      </c>
      <c r="L50" s="43" t="s">
        <v>165</v>
      </c>
      <c r="M50" s="44" t="s">
        <v>64</v>
      </c>
      <c r="N50" s="44"/>
      <c r="O50" s="45" t="s">
        <v>161</v>
      </c>
      <c r="P50" s="45" t="s">
        <v>162</v>
      </c>
    </row>
    <row r="51" spans="1:16" ht="12.75" customHeight="1" thickBot="1" x14ac:dyDescent="0.25">
      <c r="A51" s="10" t="str">
        <f t="shared" si="6"/>
        <v> HABZ 7 </v>
      </c>
      <c r="B51" s="3" t="str">
        <f t="shared" si="7"/>
        <v>I</v>
      </c>
      <c r="C51" s="10">
        <f t="shared" si="8"/>
        <v>36842.428</v>
      </c>
      <c r="D51" s="12" t="str">
        <f t="shared" si="9"/>
        <v>vis</v>
      </c>
      <c r="E51" s="42">
        <f>VLOOKUP(C51,Active!C$21:E$973,3,FALSE)</f>
        <v>-6461.962763575737</v>
      </c>
      <c r="F51" s="3" t="s">
        <v>58</v>
      </c>
      <c r="G51" s="12" t="str">
        <f t="shared" si="10"/>
        <v>36842.428</v>
      </c>
      <c r="H51" s="10">
        <f t="shared" si="11"/>
        <v>4559</v>
      </c>
      <c r="I51" s="43" t="s">
        <v>166</v>
      </c>
      <c r="J51" s="44" t="s">
        <v>167</v>
      </c>
      <c r="K51" s="43">
        <v>4559</v>
      </c>
      <c r="L51" s="43" t="s">
        <v>168</v>
      </c>
      <c r="M51" s="44" t="s">
        <v>64</v>
      </c>
      <c r="N51" s="44"/>
      <c r="O51" s="45" t="s">
        <v>161</v>
      </c>
      <c r="P51" s="45" t="s">
        <v>162</v>
      </c>
    </row>
    <row r="52" spans="1:16" ht="12.75" customHeight="1" thickBot="1" x14ac:dyDescent="0.25">
      <c r="A52" s="10" t="str">
        <f t="shared" si="6"/>
        <v> HABZ 7 </v>
      </c>
      <c r="B52" s="3" t="str">
        <f t="shared" si="7"/>
        <v>I</v>
      </c>
      <c r="C52" s="10">
        <f t="shared" si="8"/>
        <v>36876.288</v>
      </c>
      <c r="D52" s="12" t="str">
        <f t="shared" si="9"/>
        <v>vis</v>
      </c>
      <c r="E52" s="42">
        <f>VLOOKUP(C52,Active!C$21:E$973,3,FALSE)</f>
        <v>-6447.9893032459622</v>
      </c>
      <c r="F52" s="3" t="s">
        <v>58</v>
      </c>
      <c r="G52" s="12" t="str">
        <f t="shared" si="10"/>
        <v>36876.288</v>
      </c>
      <c r="H52" s="10">
        <f t="shared" si="11"/>
        <v>4573</v>
      </c>
      <c r="I52" s="43" t="s">
        <v>169</v>
      </c>
      <c r="J52" s="44" t="s">
        <v>170</v>
      </c>
      <c r="K52" s="43">
        <v>4573</v>
      </c>
      <c r="L52" s="43" t="s">
        <v>171</v>
      </c>
      <c r="M52" s="44" t="s">
        <v>64</v>
      </c>
      <c r="N52" s="44"/>
      <c r="O52" s="45" t="s">
        <v>161</v>
      </c>
      <c r="P52" s="45" t="s">
        <v>162</v>
      </c>
    </row>
    <row r="53" spans="1:16" ht="12.75" customHeight="1" thickBot="1" x14ac:dyDescent="0.25">
      <c r="A53" s="10" t="str">
        <f t="shared" si="6"/>
        <v> AC 1162.6 </v>
      </c>
      <c r="B53" s="3" t="str">
        <f t="shared" si="7"/>
        <v>I</v>
      </c>
      <c r="C53" s="10">
        <f t="shared" si="8"/>
        <v>37375.468000000001</v>
      </c>
      <c r="D53" s="12" t="str">
        <f t="shared" si="9"/>
        <v>vis</v>
      </c>
      <c r="E53" s="42">
        <f>VLOOKUP(C53,Active!C$21:E$973,3,FALSE)</f>
        <v>-6241.9859976518319</v>
      </c>
      <c r="F53" s="3" t="s">
        <v>58</v>
      </c>
      <c r="G53" s="12" t="str">
        <f t="shared" si="10"/>
        <v>37375.468</v>
      </c>
      <c r="H53" s="10">
        <f t="shared" si="11"/>
        <v>4779</v>
      </c>
      <c r="I53" s="43" t="s">
        <v>172</v>
      </c>
      <c r="J53" s="44" t="s">
        <v>173</v>
      </c>
      <c r="K53" s="43">
        <v>4779</v>
      </c>
      <c r="L53" s="43" t="s">
        <v>174</v>
      </c>
      <c r="M53" s="44" t="s">
        <v>60</v>
      </c>
      <c r="N53" s="44"/>
      <c r="O53" s="45" t="s">
        <v>175</v>
      </c>
      <c r="P53" s="45" t="s">
        <v>176</v>
      </c>
    </row>
    <row r="54" spans="1:16" ht="12.75" customHeight="1" thickBot="1" x14ac:dyDescent="0.25">
      <c r="A54" s="10" t="str">
        <f t="shared" si="6"/>
        <v> AC 1162.6 </v>
      </c>
      <c r="B54" s="3" t="str">
        <f t="shared" si="7"/>
        <v>I</v>
      </c>
      <c r="C54" s="10">
        <f t="shared" si="8"/>
        <v>37906.107000000004</v>
      </c>
      <c r="D54" s="12" t="str">
        <f t="shared" si="9"/>
        <v>vis</v>
      </c>
      <c r="E54" s="42">
        <f>VLOOKUP(C54,Active!C$21:E$973,3,FALSE)</f>
        <v>-6023.0000846000985</v>
      </c>
      <c r="F54" s="3" t="s">
        <v>58</v>
      </c>
      <c r="G54" s="12" t="str">
        <f t="shared" si="10"/>
        <v>37906.107</v>
      </c>
      <c r="H54" s="10">
        <f t="shared" si="11"/>
        <v>4998</v>
      </c>
      <c r="I54" s="43" t="s">
        <v>177</v>
      </c>
      <c r="J54" s="44" t="s">
        <v>178</v>
      </c>
      <c r="K54" s="43">
        <v>4998</v>
      </c>
      <c r="L54" s="43" t="s">
        <v>179</v>
      </c>
      <c r="M54" s="44" t="s">
        <v>60</v>
      </c>
      <c r="N54" s="44"/>
      <c r="O54" s="45" t="s">
        <v>175</v>
      </c>
      <c r="P54" s="45" t="s">
        <v>176</v>
      </c>
    </row>
    <row r="55" spans="1:16" ht="12.75" customHeight="1" thickBot="1" x14ac:dyDescent="0.25">
      <c r="A55" s="10" t="str">
        <f t="shared" si="6"/>
        <v> AC 1162.6 </v>
      </c>
      <c r="B55" s="3" t="str">
        <f t="shared" si="7"/>
        <v>I</v>
      </c>
      <c r="C55" s="10">
        <f t="shared" si="8"/>
        <v>38087.853999999999</v>
      </c>
      <c r="D55" s="12" t="str">
        <f t="shared" si="9"/>
        <v>vis</v>
      </c>
      <c r="E55" s="42">
        <f>VLOOKUP(C55,Active!C$21:E$973,3,FALSE)</f>
        <v>-5947.9961125222599</v>
      </c>
      <c r="F55" s="3" t="s">
        <v>58</v>
      </c>
      <c r="G55" s="12" t="str">
        <f t="shared" si="10"/>
        <v>38087.854</v>
      </c>
      <c r="H55" s="10">
        <f t="shared" si="11"/>
        <v>5073</v>
      </c>
      <c r="I55" s="43" t="s">
        <v>180</v>
      </c>
      <c r="J55" s="44" t="s">
        <v>181</v>
      </c>
      <c r="K55" s="43">
        <v>5073</v>
      </c>
      <c r="L55" s="43" t="s">
        <v>182</v>
      </c>
      <c r="M55" s="44" t="s">
        <v>60</v>
      </c>
      <c r="N55" s="44"/>
      <c r="O55" s="45" t="s">
        <v>175</v>
      </c>
      <c r="P55" s="45" t="s">
        <v>176</v>
      </c>
    </row>
    <row r="56" spans="1:16" ht="12.75" customHeight="1" thickBot="1" x14ac:dyDescent="0.25">
      <c r="A56" s="10" t="str">
        <f t="shared" si="6"/>
        <v> AC 1162.6 </v>
      </c>
      <c r="B56" s="3" t="str">
        <f t="shared" si="7"/>
        <v>I</v>
      </c>
      <c r="C56" s="10">
        <f t="shared" si="8"/>
        <v>38657.283000000003</v>
      </c>
      <c r="D56" s="12" t="str">
        <f t="shared" si="9"/>
        <v>vis</v>
      </c>
      <c r="E56" s="42">
        <f>VLOOKUP(C56,Active!C$21:E$973,3,FALSE)</f>
        <v>-5713.0022099196703</v>
      </c>
      <c r="F56" s="3" t="s">
        <v>58</v>
      </c>
      <c r="G56" s="12" t="str">
        <f t="shared" si="10"/>
        <v>38657.283</v>
      </c>
      <c r="H56" s="10">
        <f t="shared" si="11"/>
        <v>5308</v>
      </c>
      <c r="I56" s="43" t="s">
        <v>188</v>
      </c>
      <c r="J56" s="44" t="s">
        <v>189</v>
      </c>
      <c r="K56" s="43">
        <v>5308</v>
      </c>
      <c r="L56" s="43" t="s">
        <v>190</v>
      </c>
      <c r="M56" s="44" t="s">
        <v>60</v>
      </c>
      <c r="N56" s="44"/>
      <c r="O56" s="45" t="s">
        <v>175</v>
      </c>
      <c r="P56" s="45" t="s">
        <v>176</v>
      </c>
    </row>
    <row r="57" spans="1:16" ht="12.75" customHeight="1" thickBot="1" x14ac:dyDescent="0.25">
      <c r="A57" s="10" t="str">
        <f t="shared" si="6"/>
        <v> AC 1162.6 </v>
      </c>
      <c r="B57" s="3" t="str">
        <f t="shared" si="7"/>
        <v>I</v>
      </c>
      <c r="C57" s="10">
        <f t="shared" si="8"/>
        <v>39173.410000000003</v>
      </c>
      <c r="D57" s="12" t="str">
        <f t="shared" si="9"/>
        <v>vis</v>
      </c>
      <c r="E57" s="42">
        <f>VLOOKUP(C57,Active!C$21:E$973,3,FALSE)</f>
        <v>-5500.005158542649</v>
      </c>
      <c r="F57" s="3" t="s">
        <v>58</v>
      </c>
      <c r="G57" s="12" t="str">
        <f t="shared" si="10"/>
        <v>39173.410</v>
      </c>
      <c r="H57" s="10">
        <f t="shared" si="11"/>
        <v>5521</v>
      </c>
      <c r="I57" s="43" t="s">
        <v>191</v>
      </c>
      <c r="J57" s="44" t="s">
        <v>192</v>
      </c>
      <c r="K57" s="43">
        <v>5521</v>
      </c>
      <c r="L57" s="43" t="s">
        <v>193</v>
      </c>
      <c r="M57" s="44" t="s">
        <v>60</v>
      </c>
      <c r="N57" s="44"/>
      <c r="O57" s="45" t="s">
        <v>175</v>
      </c>
      <c r="P57" s="45" t="s">
        <v>176</v>
      </c>
    </row>
    <row r="58" spans="1:16" ht="12.75" customHeight="1" thickBot="1" x14ac:dyDescent="0.25">
      <c r="A58" s="10" t="str">
        <f t="shared" si="6"/>
        <v> JAVSO 26.14 </v>
      </c>
      <c r="B58" s="3" t="str">
        <f t="shared" si="7"/>
        <v>I</v>
      </c>
      <c r="C58" s="10">
        <f t="shared" si="8"/>
        <v>50283.624000000003</v>
      </c>
      <c r="D58" s="12" t="str">
        <f t="shared" si="9"/>
        <v>vis</v>
      </c>
      <c r="E58" s="42">
        <f>VLOOKUP(C58,Active!C$21:E$973,3,FALSE)</f>
        <v>-915.00413715120442</v>
      </c>
      <c r="F58" s="3" t="s">
        <v>58</v>
      </c>
      <c r="G58" s="12" t="str">
        <f t="shared" si="10"/>
        <v>50283.624</v>
      </c>
      <c r="H58" s="10">
        <f t="shared" si="11"/>
        <v>10106</v>
      </c>
      <c r="I58" s="43" t="s">
        <v>194</v>
      </c>
      <c r="J58" s="44" t="s">
        <v>195</v>
      </c>
      <c r="K58" s="43">
        <v>10106</v>
      </c>
      <c r="L58" s="43" t="s">
        <v>196</v>
      </c>
      <c r="M58" s="44" t="s">
        <v>197</v>
      </c>
      <c r="N58" s="44" t="s">
        <v>198</v>
      </c>
      <c r="O58" s="45" t="s">
        <v>199</v>
      </c>
      <c r="P58" s="45" t="s">
        <v>200</v>
      </c>
    </row>
    <row r="59" spans="1:16" ht="12.75" customHeight="1" thickBot="1" x14ac:dyDescent="0.25">
      <c r="A59" s="10" t="str">
        <f t="shared" si="6"/>
        <v>BAVM 193 </v>
      </c>
      <c r="B59" s="3" t="str">
        <f t="shared" si="7"/>
        <v>I</v>
      </c>
      <c r="C59" s="10">
        <f t="shared" si="8"/>
        <v>54308.509599999998</v>
      </c>
      <c r="D59" s="12" t="str">
        <f t="shared" si="9"/>
        <v>vis</v>
      </c>
      <c r="E59" s="42">
        <f>VLOOKUP(C59,Active!C$21:E$973,3,FALSE)</f>
        <v>745.99938510171444</v>
      </c>
      <c r="F59" s="3" t="s">
        <v>58</v>
      </c>
      <c r="G59" s="12" t="str">
        <f t="shared" si="10"/>
        <v>54308.5096</v>
      </c>
      <c r="H59" s="10">
        <f t="shared" si="11"/>
        <v>11767</v>
      </c>
      <c r="I59" s="43" t="s">
        <v>201</v>
      </c>
      <c r="J59" s="44" t="s">
        <v>202</v>
      </c>
      <c r="K59" s="43">
        <v>11767</v>
      </c>
      <c r="L59" s="43" t="s">
        <v>203</v>
      </c>
      <c r="M59" s="44" t="s">
        <v>204</v>
      </c>
      <c r="N59" s="44" t="s">
        <v>205</v>
      </c>
      <c r="O59" s="45" t="s">
        <v>206</v>
      </c>
      <c r="P59" s="46" t="s">
        <v>207</v>
      </c>
    </row>
    <row r="60" spans="1:16" ht="12.75" customHeight="1" thickBot="1" x14ac:dyDescent="0.25">
      <c r="A60" s="10" t="str">
        <f t="shared" si="6"/>
        <v>BAVM 193 </v>
      </c>
      <c r="B60" s="3" t="str">
        <f t="shared" si="7"/>
        <v>I</v>
      </c>
      <c r="C60" s="10">
        <f t="shared" si="8"/>
        <v>54325.474199999997</v>
      </c>
      <c r="D60" s="12" t="str">
        <f t="shared" si="9"/>
        <v>vis</v>
      </c>
      <c r="E60" s="42">
        <f>VLOOKUP(C60,Active!C$21:E$973,3,FALSE)</f>
        <v>753.00039411265641</v>
      </c>
      <c r="F60" s="3" t="s">
        <v>58</v>
      </c>
      <c r="G60" s="12" t="str">
        <f t="shared" si="10"/>
        <v>54325.4742</v>
      </c>
      <c r="H60" s="10">
        <f t="shared" si="11"/>
        <v>11774</v>
      </c>
      <c r="I60" s="43" t="s">
        <v>208</v>
      </c>
      <c r="J60" s="44" t="s">
        <v>209</v>
      </c>
      <c r="K60" s="43" t="s">
        <v>210</v>
      </c>
      <c r="L60" s="43" t="s">
        <v>211</v>
      </c>
      <c r="M60" s="44" t="s">
        <v>204</v>
      </c>
      <c r="N60" s="44" t="s">
        <v>205</v>
      </c>
      <c r="O60" s="45" t="s">
        <v>206</v>
      </c>
      <c r="P60" s="46" t="s">
        <v>207</v>
      </c>
    </row>
    <row r="61" spans="1:16" ht="12.75" customHeight="1" thickBot="1" x14ac:dyDescent="0.25">
      <c r="A61" s="10" t="str">
        <f t="shared" si="6"/>
        <v>BAVM 203 </v>
      </c>
      <c r="B61" s="3" t="str">
        <f t="shared" si="7"/>
        <v>I</v>
      </c>
      <c r="C61" s="10">
        <f t="shared" si="8"/>
        <v>54703.490299999998</v>
      </c>
      <c r="D61" s="12" t="str">
        <f t="shared" si="9"/>
        <v>vis</v>
      </c>
      <c r="E61" s="42">
        <f>VLOOKUP(C61,Active!C$21:E$973,3,FALSE)</f>
        <v>909.00136804550903</v>
      </c>
      <c r="F61" s="3" t="s">
        <v>58</v>
      </c>
      <c r="G61" s="12" t="str">
        <f t="shared" si="10"/>
        <v>54703.4903</v>
      </c>
      <c r="H61" s="10">
        <f t="shared" si="11"/>
        <v>11930</v>
      </c>
      <c r="I61" s="43" t="s">
        <v>212</v>
      </c>
      <c r="J61" s="44" t="s">
        <v>213</v>
      </c>
      <c r="K61" s="43" t="s">
        <v>214</v>
      </c>
      <c r="L61" s="43" t="s">
        <v>215</v>
      </c>
      <c r="M61" s="44" t="s">
        <v>204</v>
      </c>
      <c r="N61" s="44" t="s">
        <v>205</v>
      </c>
      <c r="O61" s="45" t="s">
        <v>206</v>
      </c>
      <c r="P61" s="46" t="s">
        <v>216</v>
      </c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</sheetData>
  <phoneticPr fontId="8" type="noConversion"/>
  <hyperlinks>
    <hyperlink ref="P11" r:id="rId1" display="http://www.konkoly.hu/cgi-bin/IBVS?35"/>
    <hyperlink ref="P59" r:id="rId2" display="http://www.bav-astro.de/sfs/BAVM_link.php?BAVMnr=193"/>
    <hyperlink ref="P60" r:id="rId3" display="http://www.bav-astro.de/sfs/BAVM_link.php?BAVMnr=193"/>
    <hyperlink ref="P61" r:id="rId4" display="http://www.bav-astro.de/sfs/BAVM_link.php?BAVMnr=203"/>
    <hyperlink ref="P12" r:id="rId5" display="http://www.bav-astro.de/sfs/BAVM_link.php?BAVMnr=215"/>
    <hyperlink ref="P13" r:id="rId6" display="http://www.konkoly.hu/cgi-bin/IBVS?600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2024-02-06T05:15:06Z</dcterms:modified>
</cp:coreProperties>
</file>