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7DC35FFB-3240-4617-A14B-CAB72664182D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F16" i="1" l="1"/>
  <c r="F17" i="1" s="1"/>
  <c r="H11" i="2"/>
  <c r="B11" i="2"/>
  <c r="G11" i="2"/>
  <c r="D11" i="2"/>
  <c r="C11" i="2"/>
  <c r="A11" i="2"/>
  <c r="C9" i="1"/>
  <c r="D9" i="1"/>
  <c r="Q21" i="1"/>
  <c r="C7" i="1"/>
  <c r="C8" i="1"/>
  <c r="Q22" i="1"/>
  <c r="C17" i="1"/>
  <c r="E11" i="2"/>
  <c r="E21" i="1"/>
  <c r="F21" i="1"/>
  <c r="G21" i="1" s="1"/>
  <c r="K21" i="1" s="1"/>
  <c r="E22" i="1"/>
  <c r="F22" i="1"/>
  <c r="G22" i="1" s="1"/>
  <c r="I22" i="1" s="1"/>
  <c r="C12" i="1"/>
  <c r="C11" i="1"/>
  <c r="O22" i="1" l="1"/>
  <c r="C15" i="1"/>
  <c r="F18" i="1" s="1"/>
  <c r="O21" i="1"/>
  <c r="C16" i="1"/>
  <c r="D18" i="1" s="1"/>
  <c r="F19" i="1" l="1"/>
  <c r="C18" i="1"/>
</calcChain>
</file>

<file path=xl/sharedStrings.xml><?xml version="1.0" encoding="utf-8"?>
<sst xmlns="http://schemas.openxmlformats.org/spreadsheetml/2006/main" count="68" uniqueCount="60">
  <si>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</si>
  <si>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</si>
  <si>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</si>
  <si>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</si>
  <si>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</si>
  <si>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</si>
  <si>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</si>
  <si>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</si>
  <si>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</si>
  <si>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</si>
  <si>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</si>
  <si>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</si>
  <si>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</si>
  <si>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</si>
  <si>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</si>
  <si>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</si>
  <si>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</si>
  <si>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</si>
  <si>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</si>
  <si>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</si>
  <si>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</si>
  <si>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</si>
  <si>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</si>
  <si>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</si>
  <si>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</si>
  <si>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</si>
  <si>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</si>
  <si>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</si>
  <si>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</si>
  <si>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</si>
  <si>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</si>
  <si>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</si>
  <si>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</si>
  <si>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</t>
  </si>
  <si>
    <t>Kreiner</t>
  </si>
  <si>
    <t>Kreiner Eph.</t>
  </si>
  <si>
    <t>FH Del / na</t>
  </si>
  <si>
    <t xml:space="preserve">EA/SD:    </t>
  </si>
  <si>
    <t>IBVS 5287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</si>
  <si>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</si>
  <si>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</si>
  <si>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</si>
  <si>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</si>
  <si>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</si>
  <si>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</si>
  <si>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</si>
  <si>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</si>
  <si>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</si>
  <si>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</si>
  <si>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</si>
  <si>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2451697.4503 </t>
  </si>
  <si>
    <t> 01.06.2000 22:48 </t>
  </si>
  <si>
    <t> 0.0532 </t>
  </si>
  <si>
    <t>E </t>
  </si>
  <si>
    <t>?</t>
  </si>
  <si>
    <t> M.Zejda </t>
  </si>
  <si>
    <t>IBVS 5287 </t>
  </si>
  <si>
    <t>Add cycle</t>
  </si>
  <si>
    <t>Old Cycle</t>
  </si>
  <si>
    <t>BAD?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</si>
</sst>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0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7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9" fillId="0" borderId="1" applyNumberFormat="0" applyFont="0" applyFill="0" applyAlignment="0" applyProtection="0"/>
  </cellStyleXfs>
  <cellXfs count="4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2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7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17" fillId="2" borderId="11" xfId="7" applyFill="1" applyBorder="1" applyAlignment="1" applyProtection="1">
      <alignment horizontal="right" vertical="top" wrapText="1"/>
    </xf>
    <xf numFmtId="0" fontId="18" fillId="0" borderId="2" xfId="0" applyFont="1" applyBorder="1" applyAlignment="1">
      <alignment horizont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FH Del - O-C Diagr.</a:t>
            </a:r>
          </a:p>
        </c:rich>
      </c:tx>
      <c:layout>
        <c:manualLayout>
          <c:xMode val="edge"/>
          <c:yMode val="edge"/>
          <c:x val="0.3894736842105263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20300751879698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Active!$D$21:$D$222</c:f>
                <c:numCache>
                  <c:formatCode>General</c:formatCode>
                  <c:ptCount val="202"/>
                  <c:pt idx="0">
                    <c:v>1.0500000000000001E-2</c:v>
                  </c:pt>
                </c:numCache>
              </c:numRef>
            </c:plus>
            <c:minus>
              <c:numRef>
                <c:f>Active!$D$21:$D$222</c:f>
                <c:numCache>
                  <c:formatCode>General</c:formatCode>
                  <c:ptCount val="202"/>
                  <c:pt idx="0">
                    <c:v>1.0500000000000001E-2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-1184</c:v>
                </c:pt>
                <c:pt idx="1">
                  <c:v>0</c:v>
                </c:pt>
              </c:numCache>
            </c:numRef>
          </c:xVal>
          <c:yVal>
            <c:numRef>
              <c:f>Active!$H$21:$H$982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727-423B-AFC3-F5DF71D69D3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1.0500000000000001E-2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1.0500000000000001E-2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-1184</c:v>
                </c:pt>
                <c:pt idx="1">
                  <c:v>0</c:v>
                </c:pt>
              </c:numCache>
            </c:numRef>
          </c:xVal>
          <c:yVal>
            <c:numRef>
              <c:f>Active!$I$21:$I$982</c:f>
              <c:numCache>
                <c:formatCode>General</c:formatCode>
                <c:ptCount val="962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727-423B-AFC3-F5DF71D69D3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1.0500000000000001E-2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1.0500000000000001E-2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-1184</c:v>
                </c:pt>
                <c:pt idx="1">
                  <c:v>0</c:v>
                </c:pt>
              </c:numCache>
            </c:numRef>
          </c:xVal>
          <c:yVal>
            <c:numRef>
              <c:f>Active!$J$21:$J$982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727-423B-AFC3-F5DF71D69D3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1.0500000000000001E-2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1.0500000000000001E-2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-1184</c:v>
                </c:pt>
                <c:pt idx="1">
                  <c:v>0</c:v>
                </c:pt>
              </c:numCache>
            </c:numRef>
          </c:xVal>
          <c:yVal>
            <c:numRef>
              <c:f>Active!$K$21:$K$982</c:f>
              <c:numCache>
                <c:formatCode>General</c:formatCode>
                <c:ptCount val="962"/>
                <c:pt idx="0">
                  <c:v>2.5647999427746981E-4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727-423B-AFC3-F5DF71D69D3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1.0500000000000001E-2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1.0500000000000001E-2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-1184</c:v>
                </c:pt>
                <c:pt idx="1">
                  <c:v>0</c:v>
                </c:pt>
              </c:numCache>
            </c:numRef>
          </c:xVal>
          <c:yVal>
            <c:numRef>
              <c:f>Active!$L$21:$L$982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727-423B-AFC3-F5DF71D69D3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1.0500000000000001E-2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1.0500000000000001E-2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-1184</c:v>
                </c:pt>
                <c:pt idx="1">
                  <c:v>0</c:v>
                </c:pt>
              </c:numCache>
            </c:numRef>
          </c:xVal>
          <c:yVal>
            <c:numRef>
              <c:f>Active!$M$21:$M$982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727-423B-AFC3-F5DF71D69D3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1.0500000000000001E-2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1.0500000000000001E-2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-1184</c:v>
                </c:pt>
                <c:pt idx="1">
                  <c:v>0</c:v>
                </c:pt>
              </c:numCache>
            </c:numRef>
          </c:xVal>
          <c:yVal>
            <c:numRef>
              <c:f>Active!$N$21:$N$982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727-423B-AFC3-F5DF71D69D3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-1184</c:v>
                </c:pt>
                <c:pt idx="1">
                  <c:v>0</c:v>
                </c:pt>
              </c:numCache>
            </c:numRef>
          </c:xVal>
          <c:yVal>
            <c:numRef>
              <c:f>Active!$O$21:$O$982</c:f>
              <c:numCache>
                <c:formatCode>General</c:formatCode>
                <c:ptCount val="962"/>
                <c:pt idx="0">
                  <c:v>2.5647999427746981E-4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727-423B-AFC3-F5DF71D69D3A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Active!$F$21:$F$300</c:f>
              <c:numCache>
                <c:formatCode>General</c:formatCode>
                <c:ptCount val="280"/>
                <c:pt idx="0">
                  <c:v>-1184</c:v>
                </c:pt>
                <c:pt idx="1">
                  <c:v>0</c:v>
                </c:pt>
              </c:numCache>
            </c:numRef>
          </c:xVal>
          <c:yVal>
            <c:numRef>
              <c:f>Active!$U$21:$U$300</c:f>
              <c:numCache>
                <c:formatCode>General</c:formatCode>
                <c:ptCount val="2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727-423B-AFC3-F5DF71D69D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0095160"/>
        <c:axId val="1"/>
      </c:scatterChart>
      <c:valAx>
        <c:axId val="9200951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32330827067664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200951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052631578947367"/>
          <c:y val="0.92397937099967764"/>
          <c:w val="0.72330827067669168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104775</xdr:colOff>
      <xdr:row>0</xdr:row>
      <xdr:rowOff>0</xdr:rowOff>
    </xdr:from>
    <xdr:to>
      <xdr:col>17</xdr:col>
      <xdr:colOff>190500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65E0EEC6-3544-9F67-A177-BD7CF91FED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konkoly.hu/cgi-bin/IBVS?528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23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8" ht="20.25" x14ac:dyDescent="0.3">
      <c r="A1" s="1" t="s">
        <v>36</v>
      </c>
      <c r="F1" s="3">
        <v>52500.247000000003</v>
      </c>
      <c r="G1" s="3">
        <v>0.67803796999999999</v>
      </c>
      <c r="H1" s="3" t="s">
        <v>37</v>
      </c>
    </row>
    <row r="2" spans="1:8" x14ac:dyDescent="0.2">
      <c r="A2" t="s">
        <v>22</v>
      </c>
      <c r="B2" t="s">
        <v>37</v>
      </c>
      <c r="C2" s="3"/>
      <c r="D2" s="3"/>
    </row>
    <row r="3" spans="1:8" ht="13.5" thickBot="1" x14ac:dyDescent="0.25"/>
    <row r="4" spans="1:8" ht="14.25" thickTop="1" thickBot="1" x14ac:dyDescent="0.25">
      <c r="A4" s="5" t="s">
        <v>35</v>
      </c>
      <c r="C4" s="8">
        <v>52500.247000000003</v>
      </c>
      <c r="D4" s="9">
        <v>0.67803796999999999</v>
      </c>
    </row>
    <row r="5" spans="1:8" ht="13.5" thickTop="1" x14ac:dyDescent="0.2">
      <c r="A5" s="11" t="s">
        <v>27</v>
      </c>
      <c r="B5" s="12"/>
      <c r="C5" s="13">
        <v>-9.5</v>
      </c>
      <c r="D5" s="12" t="s">
        <v>28</v>
      </c>
    </row>
    <row r="6" spans="1:8" x14ac:dyDescent="0.2">
      <c r="A6" s="5" t="s">
        <v>0</v>
      </c>
    </row>
    <row r="7" spans="1:8" x14ac:dyDescent="0.2">
      <c r="A7" t="s">
        <v>1</v>
      </c>
      <c r="C7">
        <f>C4</f>
        <v>52500.247000000003</v>
      </c>
    </row>
    <row r="8" spans="1:8" x14ac:dyDescent="0.2">
      <c r="A8" t="s">
        <v>2</v>
      </c>
      <c r="C8">
        <f>D4</f>
        <v>0.67803796999999999</v>
      </c>
      <c r="D8" s="29"/>
    </row>
    <row r="9" spans="1:8" x14ac:dyDescent="0.2">
      <c r="A9" s="26" t="s">
        <v>32</v>
      </c>
      <c r="B9" s="27">
        <v>21</v>
      </c>
      <c r="C9" s="24" t="str">
        <f>"F"&amp;B9</f>
        <v>F21</v>
      </c>
      <c r="D9" s="25" t="str">
        <f>"G"&amp;B9</f>
        <v>G21</v>
      </c>
    </row>
    <row r="10" spans="1:8" ht="13.5" thickBot="1" x14ac:dyDescent="0.25">
      <c r="A10" s="12"/>
      <c r="B10" s="12"/>
      <c r="C10" s="4" t="s">
        <v>18</v>
      </c>
      <c r="D10" s="4" t="s">
        <v>19</v>
      </c>
      <c r="E10" s="12"/>
    </row>
    <row r="11" spans="1:8" x14ac:dyDescent="0.2">
      <c r="A11" s="12" t="s">
        <v>14</v>
      </c>
      <c r="B11" s="12"/>
      <c r="C11" s="23">
        <f ca="1">INTERCEPT(INDIRECT($D$9):G975,INDIRECT($C$9):F975)</f>
        <v>0</v>
      </c>
      <c r="D11" s="3"/>
      <c r="E11" s="12"/>
    </row>
    <row r="12" spans="1:8" x14ac:dyDescent="0.2">
      <c r="A12" s="12" t="s">
        <v>15</v>
      </c>
      <c r="B12" s="12"/>
      <c r="C12" s="23">
        <f ca="1">SLOPE(INDIRECT($D$9):G975,INDIRECT($C$9):F975)</f>
        <v>-2.1662161678840355E-7</v>
      </c>
      <c r="D12" s="3"/>
      <c r="E12" s="12"/>
    </row>
    <row r="13" spans="1:8" x14ac:dyDescent="0.2">
      <c r="A13" s="12" t="s">
        <v>17</v>
      </c>
      <c r="B13" s="12"/>
      <c r="C13" s="3" t="s">
        <v>12</v>
      </c>
    </row>
    <row r="14" spans="1:8" x14ac:dyDescent="0.2">
      <c r="A14" s="12"/>
      <c r="B14" s="12"/>
      <c r="C14" s="12"/>
    </row>
    <row r="15" spans="1:8" x14ac:dyDescent="0.2">
      <c r="A15" s="14" t="s">
        <v>16</v>
      </c>
      <c r="B15" s="12"/>
      <c r="C15" s="15">
        <f ca="1">(C7+C11)+(C8+C12)*INT(MAX(F21:F3516))</f>
        <v>52500.247000000003</v>
      </c>
      <c r="E15" s="16" t="s">
        <v>57</v>
      </c>
      <c r="F15" s="13">
        <v>1</v>
      </c>
    </row>
    <row r="16" spans="1:8" x14ac:dyDescent="0.2">
      <c r="A16" s="18" t="s">
        <v>3</v>
      </c>
      <c r="B16" s="12"/>
      <c r="C16" s="19">
        <f ca="1">+C8+C12</f>
        <v>0.67803775337838323</v>
      </c>
      <c r="E16" s="16" t="s">
        <v>29</v>
      </c>
      <c r="F16" s="17">
        <f ca="1">NOW()+15018.5+$C$5/24</f>
        <v>60346.770768981478</v>
      </c>
    </row>
    <row r="17" spans="1:21" ht="13.5" thickBot="1" x14ac:dyDescent="0.25">
      <c r="A17" s="16" t="s">
        <v>26</v>
      </c>
      <c r="B17" s="12"/>
      <c r="C17" s="12">
        <f>COUNT(C21:C2174)</f>
        <v>2</v>
      </c>
      <c r="E17" s="16" t="s">
        <v>58</v>
      </c>
      <c r="F17" s="17">
        <f ca="1">ROUND(2*(F16-$C$7)/$C$8,0)/2+F15</f>
        <v>11573.5</v>
      </c>
    </row>
    <row r="18" spans="1:21" ht="14.25" thickTop="1" thickBot="1" x14ac:dyDescent="0.25">
      <c r="A18" s="18" t="s">
        <v>4</v>
      </c>
      <c r="B18" s="12"/>
      <c r="C18" s="21">
        <f ca="1">+C15</f>
        <v>52500.247000000003</v>
      </c>
      <c r="D18" s="22">
        <f ca="1">+C16</f>
        <v>0.67803775337838323</v>
      </c>
      <c r="E18" s="16" t="s">
        <v>30</v>
      </c>
      <c r="F18" s="25">
        <f ca="1">ROUND(2*(F16-$C$15)/$C$16,0)/2+F15</f>
        <v>11573.5</v>
      </c>
    </row>
    <row r="19" spans="1:21" ht="13.5" thickTop="1" x14ac:dyDescent="0.2">
      <c r="E19" s="16" t="s">
        <v>31</v>
      </c>
      <c r="F19" s="20">
        <f ca="1">+$C$15+$C$16*F18-15018.5-$C$5/24</f>
        <v>45329.412772058058</v>
      </c>
    </row>
    <row r="20" spans="1:21" ht="13.5" thickBot="1" x14ac:dyDescent="0.25">
      <c r="A20" s="4" t="s">
        <v>5</v>
      </c>
      <c r="B20" s="4" t="s">
        <v>6</v>
      </c>
      <c r="C20" s="4" t="s">
        <v>7</v>
      </c>
      <c r="D20" s="4" t="s">
        <v>11</v>
      </c>
      <c r="E20" s="4" t="s">
        <v>8</v>
      </c>
      <c r="F20" s="4" t="s">
        <v>9</v>
      </c>
      <c r="G20" s="4" t="s">
        <v>10</v>
      </c>
      <c r="H20" s="7" t="s">
        <v>46</v>
      </c>
      <c r="I20" s="7" t="s">
        <v>49</v>
      </c>
      <c r="J20" s="7" t="s">
        <v>43</v>
      </c>
      <c r="K20" s="7" t="s">
        <v>41</v>
      </c>
      <c r="L20" s="7" t="s">
        <v>23</v>
      </c>
      <c r="M20" s="7" t="s">
        <v>24</v>
      </c>
      <c r="N20" s="7" t="s">
        <v>25</v>
      </c>
      <c r="O20" s="7" t="s">
        <v>21</v>
      </c>
      <c r="P20" s="6" t="s">
        <v>20</v>
      </c>
      <c r="Q20" s="4" t="s">
        <v>13</v>
      </c>
      <c r="U20" s="48" t="s">
        <v>59</v>
      </c>
    </row>
    <row r="21" spans="1:21" x14ac:dyDescent="0.2">
      <c r="A21" s="32" t="s">
        <v>38</v>
      </c>
      <c r="B21" s="33" t="s">
        <v>33</v>
      </c>
      <c r="C21" s="34">
        <v>51697.450299999997</v>
      </c>
      <c r="D21" s="34">
        <v>1.0500000000000001E-2</v>
      </c>
      <c r="E21">
        <f>+(C21-C$7)/C$8</f>
        <v>-1183.9996217321077</v>
      </c>
      <c r="F21">
        <f>ROUND(2*E21,0)/2</f>
        <v>-1184</v>
      </c>
      <c r="G21">
        <f>+C21-(C$7+F21*C$8)</f>
        <v>2.5647999427746981E-4</v>
      </c>
      <c r="K21">
        <f>+G21</f>
        <v>2.5647999427746981E-4</v>
      </c>
      <c r="O21">
        <f ca="1">+C$11+C$12*$F21</f>
        <v>2.5647999427746981E-4</v>
      </c>
      <c r="Q21" s="2">
        <f>+C21-15018.5</f>
        <v>36678.950299999997</v>
      </c>
    </row>
    <row r="22" spans="1:21" x14ac:dyDescent="0.2">
      <c r="A22" s="31" t="s">
        <v>34</v>
      </c>
      <c r="B22" s="30" t="s">
        <v>33</v>
      </c>
      <c r="C22" s="31">
        <v>52500.247000000003</v>
      </c>
      <c r="D22" s="28"/>
      <c r="E22">
        <f>+(C22-C$7)/C$8</f>
        <v>0</v>
      </c>
      <c r="F22">
        <f>ROUND(2*E22,0)/2</f>
        <v>0</v>
      </c>
      <c r="G22">
        <f>+C22-(C$7+F22*C$8)</f>
        <v>0</v>
      </c>
      <c r="I22">
        <f>+G22</f>
        <v>0</v>
      </c>
      <c r="O22">
        <f ca="1">+C$11+C$12*$F22</f>
        <v>0</v>
      </c>
      <c r="Q22" s="2">
        <f>+C22-15018.5</f>
        <v>37481.747000000003</v>
      </c>
    </row>
    <row r="23" spans="1:21" x14ac:dyDescent="0.2">
      <c r="C23" s="10"/>
      <c r="D23" s="10"/>
    </row>
    <row r="24" spans="1:21" x14ac:dyDescent="0.2">
      <c r="C24" s="10"/>
      <c r="D24" s="10"/>
    </row>
    <row r="25" spans="1:21" x14ac:dyDescent="0.2">
      <c r="C25" s="10"/>
      <c r="D25" s="10"/>
    </row>
    <row r="26" spans="1:21" x14ac:dyDescent="0.2">
      <c r="C26" s="10"/>
      <c r="D26" s="10"/>
    </row>
    <row r="27" spans="1:21" x14ac:dyDescent="0.2">
      <c r="C27" s="10"/>
      <c r="D27" s="10"/>
    </row>
    <row r="28" spans="1:21" x14ac:dyDescent="0.2">
      <c r="C28" s="10"/>
      <c r="D28" s="10"/>
    </row>
    <row r="29" spans="1:21" x14ac:dyDescent="0.2">
      <c r="C29" s="10"/>
      <c r="D29" s="10"/>
    </row>
    <row r="30" spans="1:21" x14ac:dyDescent="0.2">
      <c r="C30" s="10"/>
      <c r="D30" s="10"/>
    </row>
    <row r="31" spans="1:21" x14ac:dyDescent="0.2">
      <c r="C31" s="10"/>
      <c r="D31" s="10"/>
    </row>
    <row r="32" spans="1:21" x14ac:dyDescent="0.2">
      <c r="C32" s="10"/>
      <c r="D32" s="10"/>
    </row>
    <row r="33" spans="3:4" x14ac:dyDescent="0.2">
      <c r="C33" s="10"/>
      <c r="D33" s="10"/>
    </row>
    <row r="34" spans="3:4" x14ac:dyDescent="0.2">
      <c r="C34" s="10"/>
      <c r="D34" s="10"/>
    </row>
    <row r="35" spans="3:4" x14ac:dyDescent="0.2">
      <c r="C35" s="10"/>
      <c r="D35" s="10"/>
    </row>
    <row r="36" spans="3:4" x14ac:dyDescent="0.2">
      <c r="C36" s="10"/>
      <c r="D36" s="10"/>
    </row>
    <row r="37" spans="3:4" x14ac:dyDescent="0.2">
      <c r="C37" s="10"/>
      <c r="D37" s="10"/>
    </row>
    <row r="38" spans="3:4" x14ac:dyDescent="0.2">
      <c r="C38" s="10"/>
      <c r="D38" s="10"/>
    </row>
    <row r="39" spans="3:4" x14ac:dyDescent="0.2">
      <c r="C39" s="10"/>
      <c r="D39" s="10"/>
    </row>
    <row r="40" spans="3:4" x14ac:dyDescent="0.2">
      <c r="C40" s="10"/>
      <c r="D40" s="10"/>
    </row>
    <row r="41" spans="3:4" x14ac:dyDescent="0.2">
      <c r="C41" s="10"/>
      <c r="D41" s="10"/>
    </row>
    <row r="42" spans="3:4" x14ac:dyDescent="0.2">
      <c r="C42" s="10"/>
      <c r="D42" s="10"/>
    </row>
    <row r="43" spans="3:4" x14ac:dyDescent="0.2">
      <c r="C43" s="10"/>
      <c r="D43" s="10"/>
    </row>
    <row r="44" spans="3:4" x14ac:dyDescent="0.2">
      <c r="C44" s="10"/>
      <c r="D44" s="10"/>
    </row>
    <row r="45" spans="3:4" x14ac:dyDescent="0.2">
      <c r="C45" s="10"/>
      <c r="D45" s="10"/>
    </row>
    <row r="46" spans="3:4" x14ac:dyDescent="0.2">
      <c r="C46" s="10"/>
      <c r="D46" s="10"/>
    </row>
    <row r="47" spans="3:4" x14ac:dyDescent="0.2">
      <c r="C47" s="10"/>
      <c r="D47" s="10"/>
    </row>
    <row r="48" spans="3:4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</sheetData>
  <sortState xmlns:xlrd2="http://schemas.microsoft.com/office/spreadsheetml/2017/richdata2" ref="A21:Q28">
    <sortCondition ref="C21:C28"/>
  </sortState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43"/>
  <sheetViews>
    <sheetView workbookViewId="0">
      <selection activeCell="E11" sqref="E11"/>
    </sheetView>
  </sheetViews>
  <sheetFormatPr defaultRowHeight="12.75" x14ac:dyDescent="0.2"/>
  <cols>
    <col min="1" max="1" width="19.7109375" style="10" customWidth="1"/>
    <col min="2" max="2" width="4.42578125" style="12" customWidth="1"/>
    <col min="3" max="3" width="12.7109375" style="10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35" t="s">
        <v>39</v>
      </c>
      <c r="I1" s="36" t="s">
        <v>40</v>
      </c>
      <c r="J1" s="37" t="s">
        <v>41</v>
      </c>
    </row>
    <row r="2" spans="1:16" x14ac:dyDescent="0.2">
      <c r="I2" s="38" t="s">
        <v>42</v>
      </c>
      <c r="J2" s="39" t="s">
        <v>43</v>
      </c>
    </row>
    <row r="3" spans="1:16" x14ac:dyDescent="0.2">
      <c r="A3" s="40" t="s">
        <v>44</v>
      </c>
      <c r="I3" s="38" t="s">
        <v>45</v>
      </c>
      <c r="J3" s="39" t="s">
        <v>46</v>
      </c>
    </row>
    <row r="4" spans="1:16" x14ac:dyDescent="0.2">
      <c r="I4" s="38" t="s">
        <v>47</v>
      </c>
      <c r="J4" s="39" t="s">
        <v>46</v>
      </c>
    </row>
    <row r="5" spans="1:16" ht="13.5" thickBot="1" x14ac:dyDescent="0.25">
      <c r="I5" s="41" t="s">
        <v>48</v>
      </c>
      <c r="J5" s="42" t="s">
        <v>49</v>
      </c>
    </row>
    <row r="10" spans="1:16" ht="13.5" thickBot="1" x14ac:dyDescent="0.25"/>
    <row r="11" spans="1:16" ht="12.75" customHeight="1" thickBot="1" x14ac:dyDescent="0.25">
      <c r="A11" s="10" t="str">
        <f>P11</f>
        <v>IBVS 5287 </v>
      </c>
      <c r="B11" s="3" t="str">
        <f>IF(H11=INT(H11),"I","II")</f>
        <v>I</v>
      </c>
      <c r="C11" s="10">
        <f>1*G11</f>
        <v>51697.450299999997</v>
      </c>
      <c r="D11" s="12" t="str">
        <f>VLOOKUP(F11,I$1:J$5,2,FALSE)</f>
        <v>vis</v>
      </c>
      <c r="E11" s="43">
        <f>VLOOKUP(C11,Active!C$21:E$973,3,FALSE)</f>
        <v>-1183.9996217321077</v>
      </c>
      <c r="F11" s="3" t="s">
        <v>48</v>
      </c>
      <c r="G11" s="12" t="str">
        <f>MID(I11,3,LEN(I11)-3)</f>
        <v>51697.4503</v>
      </c>
      <c r="H11" s="10">
        <f>1*K11</f>
        <v>32308</v>
      </c>
      <c r="I11" s="44" t="s">
        <v>50</v>
      </c>
      <c r="J11" s="45" t="s">
        <v>51</v>
      </c>
      <c r="K11" s="44">
        <v>32308</v>
      </c>
      <c r="L11" s="44" t="s">
        <v>52</v>
      </c>
      <c r="M11" s="45" t="s">
        <v>53</v>
      </c>
      <c r="N11" s="45" t="s">
        <v>54</v>
      </c>
      <c r="O11" s="46" t="s">
        <v>55</v>
      </c>
      <c r="P11" s="47" t="s">
        <v>56</v>
      </c>
    </row>
    <row r="12" spans="1:16" x14ac:dyDescent="0.2">
      <c r="B12" s="3"/>
      <c r="F12" s="3"/>
    </row>
    <row r="13" spans="1:16" x14ac:dyDescent="0.2">
      <c r="B13" s="3"/>
      <c r="F13" s="3"/>
    </row>
    <row r="14" spans="1:16" x14ac:dyDescent="0.2">
      <c r="B14" s="3"/>
      <c r="F14" s="3"/>
    </row>
    <row r="15" spans="1:16" x14ac:dyDescent="0.2">
      <c r="B15" s="3"/>
      <c r="F15" s="3"/>
    </row>
    <row r="16" spans="1:16" x14ac:dyDescent="0.2">
      <c r="B16" s="3"/>
      <c r="F16" s="3"/>
    </row>
    <row r="17" spans="2:6" x14ac:dyDescent="0.2">
      <c r="B17" s="3"/>
      <c r="F17" s="3"/>
    </row>
    <row r="18" spans="2:6" x14ac:dyDescent="0.2">
      <c r="B18" s="3"/>
      <c r="F18" s="3"/>
    </row>
    <row r="19" spans="2:6" x14ac:dyDescent="0.2">
      <c r="B19" s="3"/>
      <c r="F19" s="3"/>
    </row>
    <row r="20" spans="2:6" x14ac:dyDescent="0.2">
      <c r="B20" s="3"/>
      <c r="F20" s="3"/>
    </row>
    <row r="21" spans="2:6" x14ac:dyDescent="0.2">
      <c r="B21" s="3"/>
      <c r="F21" s="3"/>
    </row>
    <row r="22" spans="2:6" x14ac:dyDescent="0.2">
      <c r="B22" s="3"/>
      <c r="F22" s="3"/>
    </row>
    <row r="23" spans="2:6" x14ac:dyDescent="0.2">
      <c r="B23" s="3"/>
      <c r="F23" s="3"/>
    </row>
    <row r="24" spans="2:6" x14ac:dyDescent="0.2">
      <c r="B24" s="3"/>
      <c r="F24" s="3"/>
    </row>
    <row r="25" spans="2:6" x14ac:dyDescent="0.2">
      <c r="B25" s="3"/>
      <c r="F25" s="3"/>
    </row>
    <row r="26" spans="2:6" x14ac:dyDescent="0.2">
      <c r="B26" s="3"/>
      <c r="F26" s="3"/>
    </row>
    <row r="27" spans="2:6" x14ac:dyDescent="0.2">
      <c r="B27" s="3"/>
      <c r="F27" s="3"/>
    </row>
    <row r="28" spans="2:6" x14ac:dyDescent="0.2">
      <c r="B28" s="3"/>
      <c r="F28" s="3"/>
    </row>
    <row r="29" spans="2:6" x14ac:dyDescent="0.2">
      <c r="B29" s="3"/>
      <c r="F29" s="3"/>
    </row>
    <row r="30" spans="2:6" x14ac:dyDescent="0.2">
      <c r="B30" s="3"/>
      <c r="F30" s="3"/>
    </row>
    <row r="31" spans="2:6" x14ac:dyDescent="0.2">
      <c r="B31" s="3"/>
      <c r="F31" s="3"/>
    </row>
    <row r="32" spans="2:6" x14ac:dyDescent="0.2">
      <c r="B32" s="3"/>
      <c r="F32" s="3"/>
    </row>
    <row r="33" spans="2:6" x14ac:dyDescent="0.2">
      <c r="B33" s="3"/>
      <c r="F33" s="3"/>
    </row>
    <row r="34" spans="2:6" x14ac:dyDescent="0.2">
      <c r="B34" s="3"/>
      <c r="F34" s="3"/>
    </row>
    <row r="35" spans="2:6" x14ac:dyDescent="0.2">
      <c r="B35" s="3"/>
      <c r="F35" s="3"/>
    </row>
    <row r="36" spans="2:6" x14ac:dyDescent="0.2">
      <c r="B36" s="3"/>
      <c r="F36" s="3"/>
    </row>
    <row r="37" spans="2:6" x14ac:dyDescent="0.2">
      <c r="B37" s="3"/>
      <c r="F37" s="3"/>
    </row>
    <row r="38" spans="2:6" x14ac:dyDescent="0.2">
      <c r="B38" s="3"/>
      <c r="F38" s="3"/>
    </row>
    <row r="39" spans="2:6" x14ac:dyDescent="0.2">
      <c r="B39" s="3"/>
      <c r="F39" s="3"/>
    </row>
    <row r="40" spans="2:6" x14ac:dyDescent="0.2">
      <c r="B40" s="3"/>
      <c r="F40" s="3"/>
    </row>
    <row r="41" spans="2:6" x14ac:dyDescent="0.2">
      <c r="B41" s="3"/>
      <c r="F41" s="3"/>
    </row>
    <row r="42" spans="2:6" x14ac:dyDescent="0.2">
      <c r="B42" s="3"/>
      <c r="F42" s="3"/>
    </row>
    <row r="43" spans="2:6" x14ac:dyDescent="0.2">
      <c r="B43" s="3"/>
      <c r="F43" s="3"/>
    </row>
    <row r="44" spans="2:6" x14ac:dyDescent="0.2">
      <c r="B44" s="3"/>
      <c r="F44" s="3"/>
    </row>
    <row r="45" spans="2:6" x14ac:dyDescent="0.2">
      <c r="B45" s="3"/>
      <c r="F45" s="3"/>
    </row>
    <row r="46" spans="2:6" x14ac:dyDescent="0.2">
      <c r="B46" s="3"/>
      <c r="F46" s="3"/>
    </row>
    <row r="47" spans="2:6" x14ac:dyDescent="0.2">
      <c r="B47" s="3"/>
      <c r="F47" s="3"/>
    </row>
    <row r="48" spans="2:6" x14ac:dyDescent="0.2">
      <c r="B48" s="3"/>
      <c r="F48" s="3"/>
    </row>
    <row r="49" spans="2:6" x14ac:dyDescent="0.2">
      <c r="B49" s="3"/>
      <c r="F49" s="3"/>
    </row>
    <row r="50" spans="2:6" x14ac:dyDescent="0.2">
      <c r="B50" s="3"/>
      <c r="F50" s="3"/>
    </row>
    <row r="51" spans="2:6" x14ac:dyDescent="0.2">
      <c r="B51" s="3"/>
      <c r="F51" s="3"/>
    </row>
    <row r="52" spans="2:6" x14ac:dyDescent="0.2">
      <c r="B52" s="3"/>
      <c r="F52" s="3"/>
    </row>
    <row r="53" spans="2:6" x14ac:dyDescent="0.2">
      <c r="B53" s="3"/>
      <c r="F53" s="3"/>
    </row>
    <row r="54" spans="2:6" x14ac:dyDescent="0.2">
      <c r="B54" s="3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</sheetData>
  <phoneticPr fontId="7" type="noConversion"/>
  <hyperlinks>
    <hyperlink ref="P11" r:id="rId1" display="http://www.konkoly.hu/cgi-bin/IBVS?5287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2024-02-06T05:29:54Z</dcterms:modified>
</cp:coreProperties>
</file>