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DC35FFB-3240-4617-A14B-CAB72664182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6" i="1" l="1"/>
  <c r="F17" i="1" s="1"/>
  <c r="H11" i="2"/>
  <c r="B11" i="2"/>
  <c r="G11" i="2"/>
  <c r="D11" i="2"/>
  <c r="C11" i="2"/>
  <c r="A11" i="2"/>
  <c r="C9" i="1"/>
  <c r="D9" i="1"/>
  <c r="Q21" i="1"/>
  <c r="C7" i="1"/>
  <c r="C8" i="1"/>
  <c r="Q22" i="1"/>
  <c r="C17" i="1"/>
  <c r="E11" i="2"/>
  <c r="E21" i="1"/>
  <c r="F21" i="1"/>
  <c r="G21" i="1" s="1"/>
  <c r="K21" i="1" s="1"/>
  <c r="E22" i="1"/>
  <c r="F22" i="1"/>
  <c r="G22" i="1" s="1"/>
  <c r="I22" i="1" s="1"/>
  <c r="C12" i="1"/>
  <c r="C11" i="1"/>
  <c r="O22" i="1" l="1"/>
  <c r="C15" i="1"/>
  <c r="F18" i="1" s="1"/>
  <c r="O21" i="1"/>
  <c r="C16" i="1"/>
  <c r="D18" i="1" s="1"/>
  <c r="F19" i="1" l="1"/>
  <c r="C18" i="1"/>
</calcChain>
</file>

<file path=xl/sharedStrings.xml><?xml version="1.0" encoding="utf-8"?>
<sst xmlns="http://schemas.openxmlformats.org/spreadsheetml/2006/main" count="68" uniqueCount="60">
  <si>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</si>
  <si>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</si>
  <si>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</si>
  <si>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</si>
  <si>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</si>
  <si>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</si>
  <si>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</si>
  <si>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</si>
  <si>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</si>
  <si>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</si>
  <si>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</si>
  <si>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</si>
  <si>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</si>
  <si>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</si>
  <si>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</si>
  <si>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</si>
  <si>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</si>
  <si>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</si>
  <si>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</si>
  <si>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</si>
  <si>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</si>
  <si>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</si>
  <si>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</si>
  <si>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</si>
  <si>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</si>
  <si>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</si>
  <si>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</si>
  <si>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</si>
  <si>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</si>
  <si>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</si>
  <si>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</si>
  <si>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</si>
  <si>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</si>
  <si>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</si>
  <si>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</si>
  <si>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</si>
  <si>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>FH Del / na</t>
  </si>
  <si>
    <t xml:space="preserve">EA/SD:    </t>
  </si>
  <si>
    <t>IBVS 5287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</si>
  <si>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</si>
  <si>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</si>
  <si>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</si>
  <si>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</si>
  <si>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</si>
  <si>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</si>
  <si>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</si>
  <si>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</si>
  <si>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</si>
  <si>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</si>
  <si>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</si>
  <si>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2451697.4503 </t>
  </si>
  <si>
    <t> 01.06.2000 22:48 </t>
  </si>
  <si>
    <t> 0.0532 </t>
  </si>
  <si>
    <t>E </t>
  </si>
  <si>
    <t>?</t>
  </si>
  <si>
    <t> M.Zejda </t>
  </si>
  <si>
    <t>IBVS 5287 </t>
  </si>
  <si>
    <t>Add cycle</t>
  </si>
  <si>
    <t>Old Cycle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</si>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</sst>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2" xfId="0" applyFont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FH Del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20300751879698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1.0500000000000001E-2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1.0500000000000001E-2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-1184</c:v>
                </c:pt>
                <c:pt idx="1">
                  <c:v>0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27-423B-AFC3-F5DF71D69D3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1.0500000000000001E-2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1.0500000000000001E-2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-1184</c:v>
                </c:pt>
                <c:pt idx="1">
                  <c:v>0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27-423B-AFC3-F5DF71D69D3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1.0500000000000001E-2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1.0500000000000001E-2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-1184</c:v>
                </c:pt>
                <c:pt idx="1">
                  <c:v>0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27-423B-AFC3-F5DF71D69D3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1.0500000000000001E-2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1.0500000000000001E-2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-1184</c:v>
                </c:pt>
                <c:pt idx="1">
                  <c:v>0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0">
                  <c:v>2.5647999427746981E-4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27-423B-AFC3-F5DF71D69D3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1.0500000000000001E-2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1.0500000000000001E-2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-1184</c:v>
                </c:pt>
                <c:pt idx="1">
                  <c:v>0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27-423B-AFC3-F5DF71D69D3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1.0500000000000001E-2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1.0500000000000001E-2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-1184</c:v>
                </c:pt>
                <c:pt idx="1">
                  <c:v>0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27-423B-AFC3-F5DF71D69D3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1.0500000000000001E-2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1.0500000000000001E-2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-1184</c:v>
                </c:pt>
                <c:pt idx="1">
                  <c:v>0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27-423B-AFC3-F5DF71D69D3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-1184</c:v>
                </c:pt>
                <c:pt idx="1">
                  <c:v>0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2.5647999427746981E-4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27-423B-AFC3-F5DF71D69D3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-1184</c:v>
                </c:pt>
                <c:pt idx="1">
                  <c:v>0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727-423B-AFC3-F5DF71D69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0095160"/>
        <c:axId val="1"/>
      </c:scatterChart>
      <c:valAx>
        <c:axId val="920095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0095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190500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5E0EEC6-3544-9F67-A177-BD7CF91FED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konkoly.hu/cgi-bin/IBVS?52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23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36</v>
      </c>
      <c r="F1" s="3">
        <v>52500.247000000003</v>
      </c>
      <c r="G1" s="3">
        <v>0.67803796999999999</v>
      </c>
      <c r="H1" s="3" t="s">
        <v>37</v>
      </c>
    </row>
    <row r="2" spans="1:8" x14ac:dyDescent="0.2">
      <c r="A2" t="s">
        <v>22</v>
      </c>
      <c r="B2" t="s">
        <v>37</v>
      </c>
      <c r="C2" s="3"/>
      <c r="D2" s="3"/>
    </row>
    <row r="3" spans="1:8" ht="13.5" thickBot="1" x14ac:dyDescent="0.25"/>
    <row r="4" spans="1:8" ht="14.25" thickTop="1" thickBot="1" x14ac:dyDescent="0.25">
      <c r="A4" s="5" t="s">
        <v>35</v>
      </c>
      <c r="C4" s="8">
        <v>52500.247000000003</v>
      </c>
      <c r="D4" s="9">
        <v>0.67803796999999999</v>
      </c>
    </row>
    <row r="5" spans="1:8" ht="13.5" thickTop="1" x14ac:dyDescent="0.2">
      <c r="A5" s="11" t="s">
        <v>27</v>
      </c>
      <c r="B5" s="12"/>
      <c r="C5" s="13">
        <v>-9.5</v>
      </c>
      <c r="D5" s="12" t="s">
        <v>28</v>
      </c>
    </row>
    <row r="6" spans="1:8" x14ac:dyDescent="0.2">
      <c r="A6" s="5" t="s">
        <v>0</v>
      </c>
    </row>
    <row r="7" spans="1:8" x14ac:dyDescent="0.2">
      <c r="A7" t="s">
        <v>1</v>
      </c>
      <c r="C7">
        <f>C4</f>
        <v>52500.247000000003</v>
      </c>
    </row>
    <row r="8" spans="1:8" x14ac:dyDescent="0.2">
      <c r="A8" t="s">
        <v>2</v>
      </c>
      <c r="C8">
        <f>D4</f>
        <v>0.67803796999999999</v>
      </c>
      <c r="D8" s="29"/>
    </row>
    <row r="9" spans="1:8" x14ac:dyDescent="0.2">
      <c r="A9" s="26" t="s">
        <v>32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8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8" x14ac:dyDescent="0.2">
      <c r="A11" s="12" t="s">
        <v>14</v>
      </c>
      <c r="B11" s="12"/>
      <c r="C11" s="23">
        <f ca="1">INTERCEPT(INDIRECT($D$9):G975,INDIRECT($C$9):F975)</f>
        <v>0</v>
      </c>
      <c r="D11" s="3"/>
      <c r="E11" s="12"/>
    </row>
    <row r="12" spans="1:8" x14ac:dyDescent="0.2">
      <c r="A12" s="12" t="s">
        <v>15</v>
      </c>
      <c r="B12" s="12"/>
      <c r="C12" s="23">
        <f ca="1">SLOPE(INDIRECT($D$9):G975,INDIRECT($C$9):F975)</f>
        <v>-2.1662161678840355E-7</v>
      </c>
      <c r="D12" s="3"/>
      <c r="E12" s="12"/>
    </row>
    <row r="13" spans="1:8" x14ac:dyDescent="0.2">
      <c r="A13" s="12" t="s">
        <v>17</v>
      </c>
      <c r="B13" s="12"/>
      <c r="C13" s="3" t="s">
        <v>12</v>
      </c>
    </row>
    <row r="14" spans="1:8" x14ac:dyDescent="0.2">
      <c r="A14" s="12"/>
      <c r="B14" s="12"/>
      <c r="C14" s="12"/>
    </row>
    <row r="15" spans="1:8" x14ac:dyDescent="0.2">
      <c r="A15" s="14" t="s">
        <v>16</v>
      </c>
      <c r="B15" s="12"/>
      <c r="C15" s="15">
        <f ca="1">(C7+C11)+(C8+C12)*INT(MAX(F21:F3516))</f>
        <v>52500.247000000003</v>
      </c>
      <c r="E15" s="16" t="s">
        <v>57</v>
      </c>
      <c r="F15" s="13">
        <v>1</v>
      </c>
    </row>
    <row r="16" spans="1:8" x14ac:dyDescent="0.2">
      <c r="A16" s="18" t="s">
        <v>3</v>
      </c>
      <c r="B16" s="12"/>
      <c r="C16" s="19">
        <f ca="1">+C8+C12</f>
        <v>0.67803775337838323</v>
      </c>
      <c r="E16" s="16" t="s">
        <v>29</v>
      </c>
      <c r="F16" s="17">
        <f ca="1">NOW()+15018.5+$C$5/24</f>
        <v>60346.770768981478</v>
      </c>
    </row>
    <row r="17" spans="1:21" ht="13.5" thickBot="1" x14ac:dyDescent="0.25">
      <c r="A17" s="16" t="s">
        <v>26</v>
      </c>
      <c r="B17" s="12"/>
      <c r="C17" s="12">
        <f>COUNT(C21:C2174)</f>
        <v>2</v>
      </c>
      <c r="E17" s="16" t="s">
        <v>58</v>
      </c>
      <c r="F17" s="17">
        <f ca="1">ROUND(2*(F16-$C$7)/$C$8,0)/2+F15</f>
        <v>11573.5</v>
      </c>
    </row>
    <row r="18" spans="1:21" ht="14.25" thickTop="1" thickBot="1" x14ac:dyDescent="0.25">
      <c r="A18" s="18" t="s">
        <v>4</v>
      </c>
      <c r="B18" s="12"/>
      <c r="C18" s="21">
        <f ca="1">+C15</f>
        <v>52500.247000000003</v>
      </c>
      <c r="D18" s="22">
        <f ca="1">+C16</f>
        <v>0.67803775337838323</v>
      </c>
      <c r="E18" s="16" t="s">
        <v>30</v>
      </c>
      <c r="F18" s="25">
        <f ca="1">ROUND(2*(F16-$C$15)/$C$16,0)/2+F15</f>
        <v>11573.5</v>
      </c>
    </row>
    <row r="19" spans="1:21" ht="13.5" thickTop="1" x14ac:dyDescent="0.2">
      <c r="E19" s="16" t="s">
        <v>31</v>
      </c>
      <c r="F19" s="20">
        <f ca="1">+$C$15+$C$16*F18-15018.5-$C$5/24</f>
        <v>45329.412772058058</v>
      </c>
    </row>
    <row r="20" spans="1:21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46</v>
      </c>
      <c r="I20" s="7" t="s">
        <v>49</v>
      </c>
      <c r="J20" s="7" t="s">
        <v>43</v>
      </c>
      <c r="K20" s="7" t="s">
        <v>41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  <c r="U20" s="48" t="s">
        <v>59</v>
      </c>
    </row>
    <row r="21" spans="1:21" x14ac:dyDescent="0.2">
      <c r="A21" s="32" t="s">
        <v>38</v>
      </c>
      <c r="B21" s="33" t="s">
        <v>33</v>
      </c>
      <c r="C21" s="34">
        <v>51697.450299999997</v>
      </c>
      <c r="D21" s="34">
        <v>1.0500000000000001E-2</v>
      </c>
      <c r="E21">
        <f>+(C21-C$7)/C$8</f>
        <v>-1183.9996217321077</v>
      </c>
      <c r="F21">
        <f>ROUND(2*E21,0)/2</f>
        <v>-1184</v>
      </c>
      <c r="G21">
        <f>+C21-(C$7+F21*C$8)</f>
        <v>2.5647999427746981E-4</v>
      </c>
      <c r="K21">
        <f>+G21</f>
        <v>2.5647999427746981E-4</v>
      </c>
      <c r="O21">
        <f ca="1">+C$11+C$12*$F21</f>
        <v>2.5647999427746981E-4</v>
      </c>
      <c r="Q21" s="2">
        <f>+C21-15018.5</f>
        <v>36678.950299999997</v>
      </c>
    </row>
    <row r="22" spans="1:21" x14ac:dyDescent="0.2">
      <c r="A22" s="31" t="s">
        <v>34</v>
      </c>
      <c r="B22" s="30" t="s">
        <v>33</v>
      </c>
      <c r="C22" s="31">
        <v>52500.247000000003</v>
      </c>
      <c r="D22" s="28"/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0</v>
      </c>
      <c r="Q22" s="2">
        <f>+C22-15018.5</f>
        <v>37481.747000000003</v>
      </c>
    </row>
    <row r="23" spans="1:21" x14ac:dyDescent="0.2">
      <c r="C23" s="10"/>
      <c r="D23" s="10"/>
    </row>
    <row r="24" spans="1:21" x14ac:dyDescent="0.2">
      <c r="C24" s="10"/>
      <c r="D24" s="10"/>
    </row>
    <row r="25" spans="1:21" x14ac:dyDescent="0.2">
      <c r="C25" s="10"/>
      <c r="D25" s="10"/>
    </row>
    <row r="26" spans="1:21" x14ac:dyDescent="0.2">
      <c r="C26" s="10"/>
      <c r="D26" s="10"/>
    </row>
    <row r="27" spans="1:21" x14ac:dyDescent="0.2">
      <c r="C27" s="10"/>
      <c r="D27" s="10"/>
    </row>
    <row r="28" spans="1:21" x14ac:dyDescent="0.2">
      <c r="C28" s="10"/>
      <c r="D28" s="10"/>
    </row>
    <row r="29" spans="1:21" x14ac:dyDescent="0.2">
      <c r="C29" s="10"/>
      <c r="D29" s="10"/>
    </row>
    <row r="30" spans="1:21" x14ac:dyDescent="0.2">
      <c r="C30" s="10"/>
      <c r="D30" s="10"/>
    </row>
    <row r="31" spans="1:21" x14ac:dyDescent="0.2">
      <c r="C31" s="10"/>
      <c r="D31" s="10"/>
    </row>
    <row r="32" spans="1:21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sortState xmlns:xlrd2="http://schemas.microsoft.com/office/spreadsheetml/2017/richdata2" ref="A21:Q28">
    <sortCondition ref="C21:C28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3"/>
  <sheetViews>
    <sheetView workbookViewId="0">
      <selection activeCell="E11" sqref="E11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5" t="s">
        <v>39</v>
      </c>
      <c r="I1" s="36" t="s">
        <v>40</v>
      </c>
      <c r="J1" s="37" t="s">
        <v>41</v>
      </c>
    </row>
    <row r="2" spans="1:16" x14ac:dyDescent="0.2">
      <c r="I2" s="38" t="s">
        <v>42</v>
      </c>
      <c r="J2" s="39" t="s">
        <v>43</v>
      </c>
    </row>
    <row r="3" spans="1:16" x14ac:dyDescent="0.2">
      <c r="A3" s="40" t="s">
        <v>44</v>
      </c>
      <c r="I3" s="38" t="s">
        <v>45</v>
      </c>
      <c r="J3" s="39" t="s">
        <v>46</v>
      </c>
    </row>
    <row r="4" spans="1:16" x14ac:dyDescent="0.2">
      <c r="I4" s="38" t="s">
        <v>47</v>
      </c>
      <c r="J4" s="39" t="s">
        <v>46</v>
      </c>
    </row>
    <row r="5" spans="1:16" ht="13.5" thickBot="1" x14ac:dyDescent="0.25">
      <c r="I5" s="41" t="s">
        <v>48</v>
      </c>
      <c r="J5" s="42" t="s">
        <v>49</v>
      </c>
    </row>
    <row r="10" spans="1:16" ht="13.5" thickBot="1" x14ac:dyDescent="0.25"/>
    <row r="11" spans="1:16" ht="12.75" customHeight="1" thickBot="1" x14ac:dyDescent="0.25">
      <c r="A11" s="10" t="str">
        <f>P11</f>
        <v>IBVS 5287 </v>
      </c>
      <c r="B11" s="3" t="str">
        <f>IF(H11=INT(H11),"I","II")</f>
        <v>I</v>
      </c>
      <c r="C11" s="10">
        <f>1*G11</f>
        <v>51697.450299999997</v>
      </c>
      <c r="D11" s="12" t="str">
        <f>VLOOKUP(F11,I$1:J$5,2,FALSE)</f>
        <v>vis</v>
      </c>
      <c r="E11" s="43">
        <f>VLOOKUP(C11,Active!C$21:E$973,3,FALSE)</f>
        <v>-1183.9996217321077</v>
      </c>
      <c r="F11" s="3" t="s">
        <v>48</v>
      </c>
      <c r="G11" s="12" t="str">
        <f>MID(I11,3,LEN(I11)-3)</f>
        <v>51697.4503</v>
      </c>
      <c r="H11" s="10">
        <f>1*K11</f>
        <v>32308</v>
      </c>
      <c r="I11" s="44" t="s">
        <v>50</v>
      </c>
      <c r="J11" s="45" t="s">
        <v>51</v>
      </c>
      <c r="K11" s="44">
        <v>32308</v>
      </c>
      <c r="L11" s="44" t="s">
        <v>52</v>
      </c>
      <c r="M11" s="45" t="s">
        <v>53</v>
      </c>
      <c r="N11" s="45" t="s">
        <v>54</v>
      </c>
      <c r="O11" s="46" t="s">
        <v>55</v>
      </c>
      <c r="P11" s="47" t="s">
        <v>56</v>
      </c>
    </row>
    <row r="12" spans="1:16" x14ac:dyDescent="0.2">
      <c r="B12" s="3"/>
      <c r="F12" s="3"/>
    </row>
    <row r="13" spans="1:16" x14ac:dyDescent="0.2">
      <c r="B13" s="3"/>
      <c r="F13" s="3"/>
    </row>
    <row r="14" spans="1:16" x14ac:dyDescent="0.2">
      <c r="B14" s="3"/>
      <c r="F14" s="3"/>
    </row>
    <row r="15" spans="1:16" x14ac:dyDescent="0.2">
      <c r="B15" s="3"/>
      <c r="F15" s="3"/>
    </row>
    <row r="16" spans="1:16" x14ac:dyDescent="0.2">
      <c r="B16" s="3"/>
      <c r="F16" s="3"/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</sheetData>
  <phoneticPr fontId="7" type="noConversion"/>
  <hyperlinks>
    <hyperlink ref="P11" r:id="rId1" display="http://www.konkoly.hu/cgi-bin/IBVS?5287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2024-02-06T05:29:54Z</dcterms:modified>
</cp:coreProperties>
</file>