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77ABC75-64C4-4367-B3A8-4525148C58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1" i="1" l="1"/>
  <c r="F31" i="1" s="1"/>
  <c r="G31" i="1" s="1"/>
  <c r="H31" i="1" s="1"/>
  <c r="Q31" i="1"/>
  <c r="F14" i="1"/>
  <c r="Q41" i="1"/>
  <c r="E41" i="1"/>
  <c r="F41" i="1" s="1"/>
  <c r="G41" i="1" s="1"/>
  <c r="K41" i="1" s="1"/>
  <c r="E38" i="1"/>
  <c r="F38" i="1"/>
  <c r="G38" i="1" s="1"/>
  <c r="K38" i="1" s="1"/>
  <c r="E30" i="1"/>
  <c r="F30" i="1" s="1"/>
  <c r="G30" i="1" s="1"/>
  <c r="K30" i="1" s="1"/>
  <c r="E32" i="1"/>
  <c r="F32" i="1"/>
  <c r="G32" i="1" s="1"/>
  <c r="K32" i="1" s="1"/>
  <c r="E33" i="1"/>
  <c r="F33" i="1" s="1"/>
  <c r="G33" i="1" s="1"/>
  <c r="K33" i="1" s="1"/>
  <c r="E34" i="1"/>
  <c r="F34" i="1"/>
  <c r="G34" i="1" s="1"/>
  <c r="K34" i="1" s="1"/>
  <c r="E35" i="1"/>
  <c r="F35" i="1"/>
  <c r="G35" i="1" s="1"/>
  <c r="K35" i="1" s="1"/>
  <c r="E36" i="1"/>
  <c r="F36" i="1" s="1"/>
  <c r="G36" i="1" s="1"/>
  <c r="K36" i="1" s="1"/>
  <c r="E37" i="1"/>
  <c r="F37" i="1" s="1"/>
  <c r="G37" i="1" s="1"/>
  <c r="K37" i="1" s="1"/>
  <c r="E39" i="1"/>
  <c r="F39" i="1"/>
  <c r="G39" i="1" s="1"/>
  <c r="K39" i="1" s="1"/>
  <c r="E40" i="1"/>
  <c r="F40" i="1"/>
  <c r="G40" i="1" s="1"/>
  <c r="K40" i="1" s="1"/>
  <c r="Q38" i="1"/>
  <c r="D9" i="1"/>
  <c r="C9" i="1"/>
  <c r="Q40" i="1"/>
  <c r="E21" i="1"/>
  <c r="E16" i="2" s="1"/>
  <c r="E22" i="1"/>
  <c r="E17" i="2" s="1"/>
  <c r="F22" i="1"/>
  <c r="G22" i="1" s="1"/>
  <c r="I22" i="1" s="1"/>
  <c r="E23" i="1"/>
  <c r="F23" i="1" s="1"/>
  <c r="G23" i="1" s="1"/>
  <c r="I23" i="1" s="1"/>
  <c r="E24" i="1"/>
  <c r="F24" i="1" s="1"/>
  <c r="G24" i="1" s="1"/>
  <c r="I24" i="1" s="1"/>
  <c r="E25" i="1"/>
  <c r="F25" i="1"/>
  <c r="G25" i="1" s="1"/>
  <c r="I25" i="1" s="1"/>
  <c r="E26" i="1"/>
  <c r="E21" i="2" s="1"/>
  <c r="E27" i="1"/>
  <c r="F27" i="1" s="1"/>
  <c r="G27" i="1" s="1"/>
  <c r="I27" i="1" s="1"/>
  <c r="E28" i="1"/>
  <c r="E23" i="2" s="1"/>
  <c r="E29" i="1"/>
  <c r="F29" i="1" s="1"/>
  <c r="G29" i="1" s="1"/>
  <c r="I29" i="1" s="1"/>
  <c r="Q21" i="1"/>
  <c r="Q22" i="1"/>
  <c r="Q23" i="1"/>
  <c r="Q24" i="1"/>
  <c r="Q25" i="1"/>
  <c r="Q26" i="1"/>
  <c r="Q27" i="1"/>
  <c r="Q28" i="1"/>
  <c r="Q29" i="1"/>
  <c r="G15" i="2"/>
  <c r="C15" i="2"/>
  <c r="E15" i="2"/>
  <c r="G14" i="2"/>
  <c r="C14" i="2"/>
  <c r="G13" i="2"/>
  <c r="C13" i="2"/>
  <c r="E13" i="2"/>
  <c r="G12" i="2"/>
  <c r="C12" i="2"/>
  <c r="E12" i="2"/>
  <c r="G26" i="2"/>
  <c r="C26" i="2"/>
  <c r="E26" i="2"/>
  <c r="G25" i="2"/>
  <c r="C25" i="2"/>
  <c r="E25" i="2"/>
  <c r="G11" i="2"/>
  <c r="C11" i="2"/>
  <c r="G24" i="2"/>
  <c r="C24" i="2"/>
  <c r="G23" i="2"/>
  <c r="C23" i="2"/>
  <c r="G22" i="2"/>
  <c r="C22" i="2"/>
  <c r="G21" i="2"/>
  <c r="C21" i="2"/>
  <c r="G20" i="2"/>
  <c r="C20" i="2"/>
  <c r="E20" i="2"/>
  <c r="G19" i="2"/>
  <c r="C19" i="2"/>
  <c r="E19" i="2"/>
  <c r="G18" i="2"/>
  <c r="C18" i="2"/>
  <c r="G17" i="2"/>
  <c r="C17" i="2"/>
  <c r="G16" i="2"/>
  <c r="C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26" i="2"/>
  <c r="B26" i="2"/>
  <c r="D26" i="2"/>
  <c r="A26" i="2"/>
  <c r="H25" i="2"/>
  <c r="B25" i="2"/>
  <c r="D25" i="2"/>
  <c r="A25" i="2"/>
  <c r="H11" i="2"/>
  <c r="B11" i="2"/>
  <c r="D11" i="2"/>
  <c r="A11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Q39" i="1"/>
  <c r="C17" i="1"/>
  <c r="Q30" i="1"/>
  <c r="Q32" i="1"/>
  <c r="Q33" i="1"/>
  <c r="Q34" i="1"/>
  <c r="Q35" i="1"/>
  <c r="Q36" i="1"/>
  <c r="Q37" i="1"/>
  <c r="C11" i="1"/>
  <c r="C12" i="1"/>
  <c r="F21" i="1" l="1"/>
  <c r="G21" i="1" s="1"/>
  <c r="I21" i="1" s="1"/>
  <c r="E14" i="2"/>
  <c r="E11" i="2"/>
  <c r="E22" i="2"/>
  <c r="F26" i="1"/>
  <c r="G26" i="1" s="1"/>
  <c r="I26" i="1" s="1"/>
  <c r="O31" i="1"/>
  <c r="E18" i="2"/>
  <c r="E24" i="2"/>
  <c r="F28" i="1"/>
  <c r="G28" i="1" s="1"/>
  <c r="I28" i="1" s="1"/>
  <c r="F15" i="1"/>
  <c r="C16" i="1"/>
  <c r="D18" i="1" s="1"/>
  <c r="O39" i="1"/>
  <c r="O24" i="1"/>
  <c r="O41" i="1"/>
  <c r="O40" i="1"/>
  <c r="O34" i="1"/>
  <c r="O36" i="1"/>
  <c r="O38" i="1"/>
  <c r="O27" i="1"/>
  <c r="O35" i="1"/>
  <c r="O33" i="1"/>
  <c r="O37" i="1"/>
  <c r="O29" i="1"/>
  <c r="O21" i="1"/>
  <c r="O32" i="1"/>
  <c r="O30" i="1"/>
  <c r="O25" i="1"/>
  <c r="O22" i="1"/>
  <c r="O23" i="1"/>
  <c r="C15" i="1" l="1"/>
  <c r="F16" i="1" s="1"/>
  <c r="F17" i="1" s="1"/>
  <c r="O26" i="1"/>
  <c r="O28" i="1"/>
  <c r="C18" i="1" l="1"/>
  <c r="F18" i="1"/>
</calcChain>
</file>

<file path=xl/sharedStrings.xml><?xml version="1.0" encoding="utf-8"?>
<sst xmlns="http://schemas.openxmlformats.org/spreadsheetml/2006/main" count="227" uniqueCount="135">
  <si>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</si>
  <si>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</si>
  <si>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</si>
  <si>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</si>
  <si>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</si>
  <si>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</si>
  <si>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</si>
  <si>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</si>
  <si>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</si>
  <si>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</si>
  <si>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</si>
  <si>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</si>
  <si>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</si>
  <si>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</si>
  <si>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</si>
  <si>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</si>
  <si>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</si>
  <si>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</si>
  <si>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</si>
  <si>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</si>
  <si>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</si>
  <si>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</si>
  <si>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</si>
  <si>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</si>
  <si>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</si>
  <si>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</si>
  <si>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</si>
  <si>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</si>
  <si>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</si>
  <si>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</si>
  <si>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</si>
  <si>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</si>
  <si>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</si>
  <si>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BL Dra / GSC 4230-0991</t>
  </si>
  <si>
    <t>not avail.</t>
  </si>
  <si>
    <t>gettel 2006</t>
  </si>
  <si>
    <t>OEJV 0107</t>
  </si>
  <si>
    <t>II</t>
  </si>
  <si>
    <t>OEJV 0074</t>
  </si>
  <si>
    <t>IBVS 5966</t>
  </si>
  <si>
    <t>Add cycle</t>
  </si>
  <si>
    <t>Old Cycle</t>
  </si>
  <si>
    <t>OEJV 0137</t>
  </si>
  <si>
    <t>I</t>
  </si>
  <si>
    <t>IBVS 5992</t>
  </si>
  <si>
    <t>IBVS 6050</t>
  </si>
  <si>
    <t>OEJV 0160</t>
  </si>
  <si>
    <t>BAD?</t>
  </si>
  <si>
    <t>EW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</si>
  <si>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</si>
  <si>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</si>
  <si>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</si>
  <si>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</si>
  <si>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</si>
  <si>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</si>
  <si>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</si>
  <si>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</si>
  <si>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</si>
  <si>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</si>
  <si>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</si>
  <si>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2437669.224 </t>
  </si>
  <si>
    <t> 04.01.1962 17:22 </t>
  </si>
  <si>
    <t> -0.037 </t>
  </si>
  <si>
    <t>P </t>
  </si>
  <si>
    <t> H.Gessner </t>
  </si>
  <si>
    <t> VSS 7.102 </t>
  </si>
  <si>
    <t>2437906.560 </t>
  </si>
  <si>
    <t> 30.08.1962 01:26 </t>
  </si>
  <si>
    <t> -0.073 </t>
  </si>
  <si>
    <t>2437907.573 </t>
  </si>
  <si>
    <t> 31.08.1962 01:45 </t>
  </si>
  <si>
    <t> -0.066 </t>
  </si>
  <si>
    <t>2437911.568 </t>
  </si>
  <si>
    <t> 04.09.1962 01:37 </t>
  </si>
  <si>
    <t> -0.098 </t>
  </si>
  <si>
    <t>2437917.619 </t>
  </si>
  <si>
    <t> 10.09.1962 02:51 </t>
  </si>
  <si>
    <t> -0.087 </t>
  </si>
  <si>
    <t>2437934.544 </t>
  </si>
  <si>
    <t> 27.09.1962 01:03 </t>
  </si>
  <si>
    <t> -0.074 </t>
  </si>
  <si>
    <t>2437941.414 </t>
  </si>
  <si>
    <t> 03.10.1962 21:56 </t>
  </si>
  <si>
    <t> -0.049 </t>
  </si>
  <si>
    <t>2437970.380 </t>
  </si>
  <si>
    <t> 01.11.1962 21:07 </t>
  </si>
  <si>
    <t> -0.075 </t>
  </si>
  <si>
    <t>2438001.383 </t>
  </si>
  <si>
    <t> 02.12.1962 21:11 </t>
  </si>
  <si>
    <t> -0.077 </t>
  </si>
  <si>
    <t>2454343.43941 </t>
  </si>
  <si>
    <t> 30.08.2007 22:32 </t>
  </si>
  <si>
    <t> 0.00108 </t>
  </si>
  <si>
    <t>C </t>
  </si>
  <si>
    <t>R</t>
  </si>
  <si>
    <t> L.Brát </t>
  </si>
  <si>
    <t>OEJV 0074 </t>
  </si>
  <si>
    <t>2454955.4899 </t>
  </si>
  <si>
    <t> 03.05.2009 23:45 </t>
  </si>
  <si>
    <t> 0.0000 </t>
  </si>
  <si>
    <t> R.Kocián </t>
  </si>
  <si>
    <t>OEJV 0107 </t>
  </si>
  <si>
    <t>2455168.2946 </t>
  </si>
  <si>
    <t> 02.12.2009 19:04 </t>
  </si>
  <si>
    <t> -0.0040 </t>
  </si>
  <si>
    <t> R.Ehrenberger </t>
  </si>
  <si>
    <t>OEJV 0137 </t>
  </si>
  <si>
    <t>2455322.9207 </t>
  </si>
  <si>
    <t> 06.05.2010 10:05 </t>
  </si>
  <si>
    <t> -0.0015 </t>
  </si>
  <si>
    <t> R.Nelson </t>
  </si>
  <si>
    <t>IBVS 5966 </t>
  </si>
  <si>
    <t>2455672.43482 </t>
  </si>
  <si>
    <t> 20.04.2011 22:26 </t>
  </si>
  <si>
    <t> -0.00099 </t>
  </si>
  <si>
    <t> M.Zibar </t>
  </si>
  <si>
    <t>OEJV 0160 </t>
  </si>
  <si>
    <t>2455730.8256 </t>
  </si>
  <si>
    <t> 18.06.2011 07:48 </t>
  </si>
  <si>
    <t> 0.0033 </t>
  </si>
  <si>
    <t> R.Diethelm </t>
  </si>
  <si>
    <t>IBVS 5992 </t>
  </si>
  <si>
    <t>2456119.7962 </t>
  </si>
  <si>
    <t> 11.07.2012 07:06 </t>
  </si>
  <si>
    <t> -0.0010 </t>
  </si>
  <si>
    <t>IBVS 6050 </t>
  </si>
  <si>
    <t>IBVS 6154</t>
  </si>
  <si>
    <t>OEJV 0179</t>
  </si>
  <si>
    <t>IBVS 6234</t>
  </si>
  <si>
    <t>RHN 2020</t>
  </si>
  <si>
    <t xml:space="preserve">Mag </t>
  </si>
  <si>
    <t>Next ToM-P</t>
  </si>
  <si>
    <t>Next ToM-S</t>
  </si>
  <si>
    <t>VSX</t>
  </si>
  <si>
    <t>11.30-11.70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</si>
</sst>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4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b/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7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26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7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6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>
      <alignment vertical="top"/>
    </xf>
    <xf numFmtId="0" fontId="15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24" borderId="17" xfId="38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0" fillId="0" borderId="0" xfId="0" applyAlignment="1">
      <alignment horizontal="center" vertical="top"/>
    </xf>
    <xf numFmtId="0" fontId="19" fillId="0" borderId="0" xfId="0" applyFont="1" applyAlignment="1">
      <alignment horizontal="center"/>
    </xf>
    <xf numFmtId="0" fontId="20" fillId="0" borderId="0" xfId="0" applyFont="1">
      <alignment vertical="top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36" fillId="0" borderId="0" xfId="42" applyFont="1"/>
    <xf numFmtId="0" fontId="36" fillId="0" borderId="0" xfId="42" applyFont="1" applyAlignment="1">
      <alignment horizontal="center"/>
    </xf>
    <xf numFmtId="0" fontId="36" fillId="0" borderId="0" xfId="42" applyFont="1" applyAlignment="1">
      <alignment horizontal="left"/>
    </xf>
    <xf numFmtId="0" fontId="38" fillId="0" borderId="20" xfId="0" applyFont="1" applyBorder="1" applyAlignment="1">
      <alignment horizontal="right" vertical="center"/>
    </xf>
    <xf numFmtId="0" fontId="38" fillId="0" borderId="23" xfId="0" applyFont="1" applyBorder="1" applyAlignment="1">
      <alignment horizontal="right" vertical="center"/>
    </xf>
    <xf numFmtId="0" fontId="6" fillId="25" borderId="18" xfId="0" applyFont="1" applyFill="1" applyBorder="1" applyAlignment="1">
      <alignment horizontal="right" vertical="center"/>
    </xf>
    <xf numFmtId="0" fontId="39" fillId="0" borderId="21" xfId="0" applyFont="1" applyBorder="1" applyAlignment="1">
      <alignment horizontal="right" vertical="center"/>
    </xf>
    <xf numFmtId="0" fontId="40" fillId="0" borderId="21" xfId="0" applyFont="1" applyBorder="1" applyAlignment="1">
      <alignment horizontal="right" vertical="center"/>
    </xf>
    <xf numFmtId="0" fontId="6" fillId="25" borderId="19" xfId="0" applyFont="1" applyFill="1" applyBorder="1" applyAlignment="1">
      <alignment horizontal="center" vertical="center"/>
    </xf>
    <xf numFmtId="22" fontId="39" fillId="0" borderId="21" xfId="0" applyNumberFormat="1" applyFont="1" applyBorder="1" applyAlignment="1">
      <alignment horizontal="right" vertical="center"/>
    </xf>
    <xf numFmtId="22" fontId="39" fillId="0" borderId="22" xfId="0" applyNumberFormat="1" applyFont="1" applyBorder="1" applyAlignment="1">
      <alignment horizontal="right" vertical="center"/>
    </xf>
    <xf numFmtId="0" fontId="6" fillId="0" borderId="0" xfId="0" applyFont="1" applyAlignment="1"/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BL Dra - O-C Diagr.</a:t>
            </a:r>
          </a:p>
        </c:rich>
      </c:tx>
      <c:layout>
        <c:manualLayout>
          <c:xMode val="edge"/>
          <c:yMode val="edge"/>
          <c:x val="0.4190064794816414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75161987041037"/>
          <c:y val="0.14035127795846455"/>
          <c:w val="0.859611231101511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8.0000000000000004E-4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1E-4</c:v>
                  </c:pt>
                  <c:pt idx="20">
                    <c:v>2.0000000000000001E-4</c:v>
                  </c:pt>
                </c:numCache>
              </c:numRef>
            </c:plus>
            <c:min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8.0000000000000004E-4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1E-4</c:v>
                  </c:pt>
                  <c:pt idx="2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-42060</c:v>
                </c:pt>
                <c:pt idx="1">
                  <c:v>-41471</c:v>
                </c:pt>
                <c:pt idx="2">
                  <c:v>-41468.5</c:v>
                </c:pt>
                <c:pt idx="3">
                  <c:v>-41458.5</c:v>
                </c:pt>
                <c:pt idx="4">
                  <c:v>-41443.5</c:v>
                </c:pt>
                <c:pt idx="5">
                  <c:v>-41401.5</c:v>
                </c:pt>
                <c:pt idx="6">
                  <c:v>-41384</c:v>
                </c:pt>
                <c:pt idx="7">
                  <c:v>-41312.5</c:v>
                </c:pt>
                <c:pt idx="8">
                  <c:v>-41235.5</c:v>
                </c:pt>
                <c:pt idx="9">
                  <c:v>-651.5</c:v>
                </c:pt>
                <c:pt idx="10">
                  <c:v>0</c:v>
                </c:pt>
                <c:pt idx="11">
                  <c:v>868.5</c:v>
                </c:pt>
                <c:pt idx="12">
                  <c:v>1397</c:v>
                </c:pt>
                <c:pt idx="13">
                  <c:v>1781</c:v>
                </c:pt>
                <c:pt idx="14">
                  <c:v>2649</c:v>
                </c:pt>
                <c:pt idx="15">
                  <c:v>2794</c:v>
                </c:pt>
                <c:pt idx="16">
                  <c:v>3760</c:v>
                </c:pt>
                <c:pt idx="17">
                  <c:v>6248</c:v>
                </c:pt>
                <c:pt idx="18">
                  <c:v>6392.5</c:v>
                </c:pt>
                <c:pt idx="19">
                  <c:v>8203</c:v>
                </c:pt>
                <c:pt idx="20">
                  <c:v>10858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F1-469B-BB7E-9EB3F16B6D9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8.0000000000000004E-4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1E-4</c:v>
                  </c:pt>
                  <c:pt idx="20">
                    <c:v>2.0000000000000001E-4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8.0000000000000004E-4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1E-4</c:v>
                  </c:pt>
                  <c:pt idx="2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-42060</c:v>
                </c:pt>
                <c:pt idx="1">
                  <c:v>-41471</c:v>
                </c:pt>
                <c:pt idx="2">
                  <c:v>-41468.5</c:v>
                </c:pt>
                <c:pt idx="3">
                  <c:v>-41458.5</c:v>
                </c:pt>
                <c:pt idx="4">
                  <c:v>-41443.5</c:v>
                </c:pt>
                <c:pt idx="5">
                  <c:v>-41401.5</c:v>
                </c:pt>
                <c:pt idx="6">
                  <c:v>-41384</c:v>
                </c:pt>
                <c:pt idx="7">
                  <c:v>-41312.5</c:v>
                </c:pt>
                <c:pt idx="8">
                  <c:v>-41235.5</c:v>
                </c:pt>
                <c:pt idx="9">
                  <c:v>-651.5</c:v>
                </c:pt>
                <c:pt idx="10">
                  <c:v>0</c:v>
                </c:pt>
                <c:pt idx="11">
                  <c:v>868.5</c:v>
                </c:pt>
                <c:pt idx="12">
                  <c:v>1397</c:v>
                </c:pt>
                <c:pt idx="13">
                  <c:v>1781</c:v>
                </c:pt>
                <c:pt idx="14">
                  <c:v>2649</c:v>
                </c:pt>
                <c:pt idx="15">
                  <c:v>2794</c:v>
                </c:pt>
                <c:pt idx="16">
                  <c:v>3760</c:v>
                </c:pt>
                <c:pt idx="17">
                  <c:v>6248</c:v>
                </c:pt>
                <c:pt idx="18">
                  <c:v>6392.5</c:v>
                </c:pt>
                <c:pt idx="19">
                  <c:v>8203</c:v>
                </c:pt>
                <c:pt idx="20">
                  <c:v>10858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  <c:pt idx="0">
                  <c:v>-7.7559999990626238E-2</c:v>
                </c:pt>
                <c:pt idx="1">
                  <c:v>8.3453999999619555E-2</c:v>
                </c:pt>
                <c:pt idx="2">
                  <c:v>8.9768999998341314E-2</c:v>
                </c:pt>
                <c:pt idx="3">
                  <c:v>5.8028999999805819E-2</c:v>
                </c:pt>
                <c:pt idx="4">
                  <c:v>6.8919000004825648E-2</c:v>
                </c:pt>
                <c:pt idx="5">
                  <c:v>8.1611000008706469E-2</c:v>
                </c:pt>
                <c:pt idx="6">
                  <c:v>-9.5183999997971114E-2</c:v>
                </c:pt>
                <c:pt idx="7">
                  <c:v>7.9624999998486601E-2</c:v>
                </c:pt>
                <c:pt idx="8">
                  <c:v>7.6727000006940216E-2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F1-469B-BB7E-9EB3F16B6D9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8.0000000000000004E-4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1E-4</c:v>
                  </c:pt>
                  <c:pt idx="20">
                    <c:v>2.0000000000000001E-4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8.0000000000000004E-4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1E-4</c:v>
                  </c:pt>
                  <c:pt idx="2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-42060</c:v>
                </c:pt>
                <c:pt idx="1">
                  <c:v>-41471</c:v>
                </c:pt>
                <c:pt idx="2">
                  <c:v>-41468.5</c:v>
                </c:pt>
                <c:pt idx="3">
                  <c:v>-41458.5</c:v>
                </c:pt>
                <c:pt idx="4">
                  <c:v>-41443.5</c:v>
                </c:pt>
                <c:pt idx="5">
                  <c:v>-41401.5</c:v>
                </c:pt>
                <c:pt idx="6">
                  <c:v>-41384</c:v>
                </c:pt>
                <c:pt idx="7">
                  <c:v>-41312.5</c:v>
                </c:pt>
                <c:pt idx="8">
                  <c:v>-41235.5</c:v>
                </c:pt>
                <c:pt idx="9">
                  <c:v>-651.5</c:v>
                </c:pt>
                <c:pt idx="10">
                  <c:v>0</c:v>
                </c:pt>
                <c:pt idx="11">
                  <c:v>868.5</c:v>
                </c:pt>
                <c:pt idx="12">
                  <c:v>1397</c:v>
                </c:pt>
                <c:pt idx="13">
                  <c:v>1781</c:v>
                </c:pt>
                <c:pt idx="14">
                  <c:v>2649</c:v>
                </c:pt>
                <c:pt idx="15">
                  <c:v>2794</c:v>
                </c:pt>
                <c:pt idx="16">
                  <c:v>3760</c:v>
                </c:pt>
                <c:pt idx="17">
                  <c:v>6248</c:v>
                </c:pt>
                <c:pt idx="18">
                  <c:v>6392.5</c:v>
                </c:pt>
                <c:pt idx="19">
                  <c:v>8203</c:v>
                </c:pt>
                <c:pt idx="20">
                  <c:v>10858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F1-469B-BB7E-9EB3F16B6D9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8.0000000000000004E-4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1E-4</c:v>
                  </c:pt>
                  <c:pt idx="20">
                    <c:v>2.0000000000000001E-4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8.0000000000000004E-4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1E-4</c:v>
                  </c:pt>
                  <c:pt idx="2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-42060</c:v>
                </c:pt>
                <c:pt idx="1">
                  <c:v>-41471</c:v>
                </c:pt>
                <c:pt idx="2">
                  <c:v>-41468.5</c:v>
                </c:pt>
                <c:pt idx="3">
                  <c:v>-41458.5</c:v>
                </c:pt>
                <c:pt idx="4">
                  <c:v>-41443.5</c:v>
                </c:pt>
                <c:pt idx="5">
                  <c:v>-41401.5</c:v>
                </c:pt>
                <c:pt idx="6">
                  <c:v>-41384</c:v>
                </c:pt>
                <c:pt idx="7">
                  <c:v>-41312.5</c:v>
                </c:pt>
                <c:pt idx="8">
                  <c:v>-41235.5</c:v>
                </c:pt>
                <c:pt idx="9">
                  <c:v>-651.5</c:v>
                </c:pt>
                <c:pt idx="10">
                  <c:v>0</c:v>
                </c:pt>
                <c:pt idx="11">
                  <c:v>868.5</c:v>
                </c:pt>
                <c:pt idx="12">
                  <c:v>1397</c:v>
                </c:pt>
                <c:pt idx="13">
                  <c:v>1781</c:v>
                </c:pt>
                <c:pt idx="14">
                  <c:v>2649</c:v>
                </c:pt>
                <c:pt idx="15">
                  <c:v>2794</c:v>
                </c:pt>
                <c:pt idx="16">
                  <c:v>3760</c:v>
                </c:pt>
                <c:pt idx="17">
                  <c:v>6248</c:v>
                </c:pt>
                <c:pt idx="18">
                  <c:v>6392.5</c:v>
                </c:pt>
                <c:pt idx="19">
                  <c:v>8203</c:v>
                </c:pt>
                <c:pt idx="20">
                  <c:v>10858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  <c:pt idx="9">
                  <c:v>1.1521000000357162E-2</c:v>
                </c:pt>
                <c:pt idx="11">
                  <c:v>-2.4189999967347831E-3</c:v>
                </c:pt>
                <c:pt idx="12">
                  <c:v>-1.095799999893643E-2</c:v>
                </c:pt>
                <c:pt idx="13">
                  <c:v>-1.1693999993440229E-2</c:v>
                </c:pt>
                <c:pt idx="14">
                  <c:v>-1.860599999781698E-2</c:v>
                </c:pt>
                <c:pt idx="15">
                  <c:v>-1.5555999998468906E-2</c:v>
                </c:pt>
                <c:pt idx="16">
                  <c:v>-2.8039999997417908E-2</c:v>
                </c:pt>
                <c:pt idx="17">
                  <c:v>-5.3821999994397629E-2</c:v>
                </c:pt>
                <c:pt idx="18">
                  <c:v>-5.2145000001473818E-2</c:v>
                </c:pt>
                <c:pt idx="19">
                  <c:v>-6.8021999999473337E-2</c:v>
                </c:pt>
                <c:pt idx="20">
                  <c:v>-8.7992000000667758E-2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F1-469B-BB7E-9EB3F16B6D9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8.0000000000000004E-4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1E-4</c:v>
                  </c:pt>
                  <c:pt idx="20">
                    <c:v>2.0000000000000001E-4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8.0000000000000004E-4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1E-4</c:v>
                  </c:pt>
                  <c:pt idx="2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-42060</c:v>
                </c:pt>
                <c:pt idx="1">
                  <c:v>-41471</c:v>
                </c:pt>
                <c:pt idx="2">
                  <c:v>-41468.5</c:v>
                </c:pt>
                <c:pt idx="3">
                  <c:v>-41458.5</c:v>
                </c:pt>
                <c:pt idx="4">
                  <c:v>-41443.5</c:v>
                </c:pt>
                <c:pt idx="5">
                  <c:v>-41401.5</c:v>
                </c:pt>
                <c:pt idx="6">
                  <c:v>-41384</c:v>
                </c:pt>
                <c:pt idx="7">
                  <c:v>-41312.5</c:v>
                </c:pt>
                <c:pt idx="8">
                  <c:v>-41235.5</c:v>
                </c:pt>
                <c:pt idx="9">
                  <c:v>-651.5</c:v>
                </c:pt>
                <c:pt idx="10">
                  <c:v>0</c:v>
                </c:pt>
                <c:pt idx="11">
                  <c:v>868.5</c:v>
                </c:pt>
                <c:pt idx="12">
                  <c:v>1397</c:v>
                </c:pt>
                <c:pt idx="13">
                  <c:v>1781</c:v>
                </c:pt>
                <c:pt idx="14">
                  <c:v>2649</c:v>
                </c:pt>
                <c:pt idx="15">
                  <c:v>2794</c:v>
                </c:pt>
                <c:pt idx="16">
                  <c:v>3760</c:v>
                </c:pt>
                <c:pt idx="17">
                  <c:v>6248</c:v>
                </c:pt>
                <c:pt idx="18">
                  <c:v>6392.5</c:v>
                </c:pt>
                <c:pt idx="19">
                  <c:v>8203</c:v>
                </c:pt>
                <c:pt idx="20">
                  <c:v>10858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AF1-469B-BB7E-9EB3F16B6D9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8.0000000000000004E-4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1E-4</c:v>
                  </c:pt>
                  <c:pt idx="20">
                    <c:v>2.0000000000000001E-4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8.0000000000000004E-4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1E-4</c:v>
                  </c:pt>
                  <c:pt idx="2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-42060</c:v>
                </c:pt>
                <c:pt idx="1">
                  <c:v>-41471</c:v>
                </c:pt>
                <c:pt idx="2">
                  <c:v>-41468.5</c:v>
                </c:pt>
                <c:pt idx="3">
                  <c:v>-41458.5</c:v>
                </c:pt>
                <c:pt idx="4">
                  <c:v>-41443.5</c:v>
                </c:pt>
                <c:pt idx="5">
                  <c:v>-41401.5</c:v>
                </c:pt>
                <c:pt idx="6">
                  <c:v>-41384</c:v>
                </c:pt>
                <c:pt idx="7">
                  <c:v>-41312.5</c:v>
                </c:pt>
                <c:pt idx="8">
                  <c:v>-41235.5</c:v>
                </c:pt>
                <c:pt idx="9">
                  <c:v>-651.5</c:v>
                </c:pt>
                <c:pt idx="10">
                  <c:v>0</c:v>
                </c:pt>
                <c:pt idx="11">
                  <c:v>868.5</c:v>
                </c:pt>
                <c:pt idx="12">
                  <c:v>1397</c:v>
                </c:pt>
                <c:pt idx="13">
                  <c:v>1781</c:v>
                </c:pt>
                <c:pt idx="14">
                  <c:v>2649</c:v>
                </c:pt>
                <c:pt idx="15">
                  <c:v>2794</c:v>
                </c:pt>
                <c:pt idx="16">
                  <c:v>3760</c:v>
                </c:pt>
                <c:pt idx="17">
                  <c:v>6248</c:v>
                </c:pt>
                <c:pt idx="18">
                  <c:v>6392.5</c:v>
                </c:pt>
                <c:pt idx="19">
                  <c:v>8203</c:v>
                </c:pt>
                <c:pt idx="20">
                  <c:v>10858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AF1-469B-BB7E-9EB3F16B6D9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8.0000000000000004E-4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1E-4</c:v>
                  </c:pt>
                  <c:pt idx="20">
                    <c:v>2.0000000000000001E-4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8.0000000000000004E-4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1E-4</c:v>
                  </c:pt>
                  <c:pt idx="2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-42060</c:v>
                </c:pt>
                <c:pt idx="1">
                  <c:v>-41471</c:v>
                </c:pt>
                <c:pt idx="2">
                  <c:v>-41468.5</c:v>
                </c:pt>
                <c:pt idx="3">
                  <c:v>-41458.5</c:v>
                </c:pt>
                <c:pt idx="4">
                  <c:v>-41443.5</c:v>
                </c:pt>
                <c:pt idx="5">
                  <c:v>-41401.5</c:v>
                </c:pt>
                <c:pt idx="6">
                  <c:v>-41384</c:v>
                </c:pt>
                <c:pt idx="7">
                  <c:v>-41312.5</c:v>
                </c:pt>
                <c:pt idx="8">
                  <c:v>-41235.5</c:v>
                </c:pt>
                <c:pt idx="9">
                  <c:v>-651.5</c:v>
                </c:pt>
                <c:pt idx="10">
                  <c:v>0</c:v>
                </c:pt>
                <c:pt idx="11">
                  <c:v>868.5</c:v>
                </c:pt>
                <c:pt idx="12">
                  <c:v>1397</c:v>
                </c:pt>
                <c:pt idx="13">
                  <c:v>1781</c:v>
                </c:pt>
                <c:pt idx="14">
                  <c:v>2649</c:v>
                </c:pt>
                <c:pt idx="15">
                  <c:v>2794</c:v>
                </c:pt>
                <c:pt idx="16">
                  <c:v>3760</c:v>
                </c:pt>
                <c:pt idx="17">
                  <c:v>6248</c:v>
                </c:pt>
                <c:pt idx="18">
                  <c:v>6392.5</c:v>
                </c:pt>
                <c:pt idx="19">
                  <c:v>8203</c:v>
                </c:pt>
                <c:pt idx="20">
                  <c:v>10858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AF1-469B-BB7E-9EB3F16B6D9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-42060</c:v>
                </c:pt>
                <c:pt idx="1">
                  <c:v>-41471</c:v>
                </c:pt>
                <c:pt idx="2">
                  <c:v>-41468.5</c:v>
                </c:pt>
                <c:pt idx="3">
                  <c:v>-41458.5</c:v>
                </c:pt>
                <c:pt idx="4">
                  <c:v>-41443.5</c:v>
                </c:pt>
                <c:pt idx="5">
                  <c:v>-41401.5</c:v>
                </c:pt>
                <c:pt idx="6">
                  <c:v>-41384</c:v>
                </c:pt>
                <c:pt idx="7">
                  <c:v>-41312.5</c:v>
                </c:pt>
                <c:pt idx="8">
                  <c:v>-41235.5</c:v>
                </c:pt>
                <c:pt idx="9">
                  <c:v>-651.5</c:v>
                </c:pt>
                <c:pt idx="10">
                  <c:v>0</c:v>
                </c:pt>
                <c:pt idx="11">
                  <c:v>868.5</c:v>
                </c:pt>
                <c:pt idx="12">
                  <c:v>1397</c:v>
                </c:pt>
                <c:pt idx="13">
                  <c:v>1781</c:v>
                </c:pt>
                <c:pt idx="14">
                  <c:v>2649</c:v>
                </c:pt>
                <c:pt idx="15">
                  <c:v>2794</c:v>
                </c:pt>
                <c:pt idx="16">
                  <c:v>3760</c:v>
                </c:pt>
                <c:pt idx="17">
                  <c:v>6248</c:v>
                </c:pt>
                <c:pt idx="18">
                  <c:v>6392.5</c:v>
                </c:pt>
                <c:pt idx="19">
                  <c:v>8203</c:v>
                </c:pt>
                <c:pt idx="20">
                  <c:v>10858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0.36651117998736038</c:v>
                </c:pt>
                <c:pt idx="1">
                  <c:v>0.36143043921742785</c:v>
                </c:pt>
                <c:pt idx="2">
                  <c:v>0.36140887410380335</c:v>
                </c:pt>
                <c:pt idx="3">
                  <c:v>0.36132261364930535</c:v>
                </c:pt>
                <c:pt idx="4">
                  <c:v>0.36119322296755829</c:v>
                </c:pt>
                <c:pt idx="5">
                  <c:v>0.36083092905866671</c:v>
                </c:pt>
                <c:pt idx="6">
                  <c:v>0.36067997326329521</c:v>
                </c:pt>
                <c:pt idx="7">
                  <c:v>0.36006321101363442</c:v>
                </c:pt>
                <c:pt idx="8">
                  <c:v>0.35939900551399978</c:v>
                </c:pt>
                <c:pt idx="9">
                  <c:v>9.3195769792926327E-3</c:v>
                </c:pt>
                <c:pt idx="10">
                  <c:v>3.6997083687475493E-3</c:v>
                </c:pt>
                <c:pt idx="11">
                  <c:v>-3.792012104404263E-3</c:v>
                </c:pt>
                <c:pt idx="12">
                  <c:v>-8.3508771246238751E-3</c:v>
                </c:pt>
                <c:pt idx="13">
                  <c:v>-1.1663278577347301E-2</c:v>
                </c:pt>
                <c:pt idx="14">
                  <c:v>-1.9150686027774214E-2</c:v>
                </c:pt>
                <c:pt idx="15">
                  <c:v>-2.0401462617995299E-2</c:v>
                </c:pt>
                <c:pt idx="16">
                  <c:v>-2.873422252250267E-2</c:v>
                </c:pt>
                <c:pt idx="17">
                  <c:v>-5.0195823601606536E-2</c:v>
                </c:pt>
                <c:pt idx="18">
                  <c:v>-5.1442287169102721E-2</c:v>
                </c:pt>
                <c:pt idx="19">
                  <c:v>-6.7059742455966687E-2</c:v>
                </c:pt>
                <c:pt idx="20">
                  <c:v>-8.9961893125187264E-2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AF1-469B-BB7E-9EB3F16B6D9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Active!$D$21:$D$46</c:f>
                <c:numCache>
                  <c:formatCode>General</c:formatCode>
                  <c:ptCount val="2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8.0000000000000004E-4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1E-4</c:v>
                  </c:pt>
                  <c:pt idx="20">
                    <c:v>2.0000000000000001E-4</c:v>
                  </c:pt>
                </c:numCache>
              </c:numRef>
            </c:plus>
            <c:minus>
              <c:numRef>
                <c:f>Active!$D$21:$D$46</c:f>
                <c:numCache>
                  <c:formatCode>General</c:formatCode>
                  <c:ptCount val="2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8.0000000000000004E-4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1E-4</c:v>
                  </c:pt>
                  <c:pt idx="2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-42060</c:v>
                </c:pt>
                <c:pt idx="1">
                  <c:v>-41471</c:v>
                </c:pt>
                <c:pt idx="2">
                  <c:v>-41468.5</c:v>
                </c:pt>
                <c:pt idx="3">
                  <c:v>-41458.5</c:v>
                </c:pt>
                <c:pt idx="4">
                  <c:v>-41443.5</c:v>
                </c:pt>
                <c:pt idx="5">
                  <c:v>-41401.5</c:v>
                </c:pt>
                <c:pt idx="6">
                  <c:v>-41384</c:v>
                </c:pt>
                <c:pt idx="7">
                  <c:v>-41312.5</c:v>
                </c:pt>
                <c:pt idx="8">
                  <c:v>-41235.5</c:v>
                </c:pt>
                <c:pt idx="9">
                  <c:v>-651.5</c:v>
                </c:pt>
                <c:pt idx="10">
                  <c:v>0</c:v>
                </c:pt>
                <c:pt idx="11">
                  <c:v>868.5</c:v>
                </c:pt>
                <c:pt idx="12">
                  <c:v>1397</c:v>
                </c:pt>
                <c:pt idx="13">
                  <c:v>1781</c:v>
                </c:pt>
                <c:pt idx="14">
                  <c:v>2649</c:v>
                </c:pt>
                <c:pt idx="15">
                  <c:v>2794</c:v>
                </c:pt>
                <c:pt idx="16">
                  <c:v>3760</c:v>
                </c:pt>
                <c:pt idx="17">
                  <c:v>6248</c:v>
                </c:pt>
                <c:pt idx="18">
                  <c:v>6392.5</c:v>
                </c:pt>
                <c:pt idx="19">
                  <c:v>8203</c:v>
                </c:pt>
                <c:pt idx="20">
                  <c:v>10858</c:v>
                </c:pt>
              </c:numCache>
            </c:numRef>
          </c:xVal>
          <c:yVal>
            <c:numRef>
              <c:f>Active!$U$21:$U$996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AF1-469B-BB7E-9EB3F16B6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327848"/>
        <c:axId val="1"/>
      </c:scatterChart>
      <c:valAx>
        <c:axId val="551327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7580993520518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4276457883369327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13278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669546436285094"/>
          <c:y val="0.92397937099967764"/>
          <c:w val="0.5194384449244060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21</xdr:col>
      <xdr:colOff>28575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58BB0C2-7643-BAE2-B581-0A55D67F4F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ar.astro.cz/oejv/issues/oejv0137.pdf" TargetMode="External"/><Relationship Id="rId7" Type="http://schemas.openxmlformats.org/officeDocument/2006/relationships/hyperlink" Target="http://www.konkoly.hu/cgi-bin/IBVS?6050" TargetMode="External"/><Relationship Id="rId2" Type="http://schemas.openxmlformats.org/officeDocument/2006/relationships/hyperlink" Target="http://var.astro.cz/oejv/issues/oejv0107.pdf" TargetMode="External"/><Relationship Id="rId1" Type="http://schemas.openxmlformats.org/officeDocument/2006/relationships/hyperlink" Target="http://var.astro.cz/oejv/issues/oejv0074.pdf" TargetMode="External"/><Relationship Id="rId6" Type="http://schemas.openxmlformats.org/officeDocument/2006/relationships/hyperlink" Target="http://www.konkoly.hu/cgi-bin/IBVS?5992" TargetMode="External"/><Relationship Id="rId5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konkoly.hu/cgi-bin/IBVS?59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6937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3.85546875" style="3" customWidth="1"/>
    <col min="3" max="3" width="11.85546875" customWidth="1"/>
    <col min="4" max="4" width="9.42578125" customWidth="1"/>
    <col min="5" max="5" width="11.285156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6" ht="20.25" x14ac:dyDescent="0.3">
      <c r="A1" s="1" t="s">
        <v>33</v>
      </c>
    </row>
    <row r="2" spans="1:6" ht="12.95" customHeight="1" x14ac:dyDescent="0.2">
      <c r="A2" t="s">
        <v>23</v>
      </c>
      <c r="B2" s="3" t="s">
        <v>48</v>
      </c>
      <c r="C2" s="3"/>
      <c r="D2" s="3"/>
    </row>
    <row r="3" spans="1:6" ht="12.95" customHeight="1" thickBot="1" x14ac:dyDescent="0.25"/>
    <row r="4" spans="1:6" ht="12.95" customHeight="1" thickTop="1" thickBot="1" x14ac:dyDescent="0.25">
      <c r="A4" s="5" t="s">
        <v>0</v>
      </c>
      <c r="C4" s="8" t="s">
        <v>34</v>
      </c>
      <c r="D4" s="9" t="s">
        <v>34</v>
      </c>
    </row>
    <row r="5" spans="1:6" ht="12.95" customHeight="1" thickTop="1" x14ac:dyDescent="0.2">
      <c r="A5" s="11" t="s">
        <v>28</v>
      </c>
      <c r="B5" s="49"/>
      <c r="C5" s="13">
        <v>-9.5</v>
      </c>
      <c r="D5" s="12" t="s">
        <v>29</v>
      </c>
    </row>
    <row r="6" spans="1:6" ht="12.95" customHeight="1" x14ac:dyDescent="0.2">
      <c r="A6" s="5" t="s">
        <v>1</v>
      </c>
      <c r="E6" s="66" t="s">
        <v>35</v>
      </c>
    </row>
    <row r="7" spans="1:6" ht="12.95" customHeight="1" x14ac:dyDescent="0.2">
      <c r="A7" t="s">
        <v>2</v>
      </c>
      <c r="C7">
        <v>54605.77</v>
      </c>
      <c r="D7" s="65" t="s">
        <v>133</v>
      </c>
      <c r="E7" s="67">
        <v>54955.288619500003</v>
      </c>
    </row>
    <row r="8" spans="1:6" ht="12.95" customHeight="1" x14ac:dyDescent="0.2">
      <c r="A8" t="s">
        <v>3</v>
      </c>
      <c r="C8">
        <v>0.40267399999999998</v>
      </c>
      <c r="D8" s="65" t="s">
        <v>133</v>
      </c>
      <c r="E8" s="68">
        <v>0.40266099999999999</v>
      </c>
    </row>
    <row r="9" spans="1:6" ht="12.95" customHeight="1" x14ac:dyDescent="0.2">
      <c r="A9" s="25" t="s">
        <v>32</v>
      </c>
      <c r="B9" s="26">
        <v>30</v>
      </c>
      <c r="C9" s="23" t="str">
        <f>"F"&amp;B9</f>
        <v>F30</v>
      </c>
      <c r="D9" s="24" t="str">
        <f>"G"&amp;B9</f>
        <v>G30</v>
      </c>
    </row>
    <row r="10" spans="1:6" ht="12.95" customHeight="1" thickBot="1" x14ac:dyDescent="0.25">
      <c r="A10" s="12"/>
      <c r="B10" s="49"/>
      <c r="C10" s="4" t="s">
        <v>19</v>
      </c>
      <c r="D10" s="4" t="s">
        <v>20</v>
      </c>
      <c r="E10" s="12"/>
    </row>
    <row r="11" spans="1:6" ht="12.95" customHeight="1" x14ac:dyDescent="0.2">
      <c r="A11" s="12" t="s">
        <v>15</v>
      </c>
      <c r="B11" s="49"/>
      <c r="C11" s="22">
        <f ca="1">INTERCEPT(INDIRECT($D$9):G990,INDIRECT($C$9):F990)</f>
        <v>3.6997083687475493E-3</v>
      </c>
      <c r="D11" s="3"/>
      <c r="E11" s="12"/>
    </row>
    <row r="12" spans="1:6" ht="12.95" customHeight="1" x14ac:dyDescent="0.2">
      <c r="A12" s="12" t="s">
        <v>16</v>
      </c>
      <c r="B12" s="49"/>
      <c r="C12" s="22">
        <f ca="1">SLOPE(INDIRECT($D$9):G990,INDIRECT($C$9):F990)</f>
        <v>-8.6260454498005902E-6</v>
      </c>
      <c r="D12" s="3"/>
      <c r="E12" s="59" t="s">
        <v>130</v>
      </c>
      <c r="F12" s="62" t="s">
        <v>134</v>
      </c>
    </row>
    <row r="13" spans="1:6" ht="12.95" customHeight="1" x14ac:dyDescent="0.2">
      <c r="A13" s="12" t="s">
        <v>18</v>
      </c>
      <c r="B13" s="49"/>
      <c r="C13" s="3" t="s">
        <v>13</v>
      </c>
      <c r="E13" s="57" t="s">
        <v>40</v>
      </c>
      <c r="F13" s="61">
        <v>1</v>
      </c>
    </row>
    <row r="14" spans="1:6" ht="12.95" customHeight="1" x14ac:dyDescent="0.2">
      <c r="A14" s="12"/>
      <c r="B14" s="49"/>
      <c r="C14" s="12"/>
      <c r="E14" s="57" t="s">
        <v>30</v>
      </c>
      <c r="F14" s="60">
        <f ca="1">NOW()+15018.5+$C$5/24</f>
        <v>60527.538316319442</v>
      </c>
    </row>
    <row r="15" spans="1:6" ht="12.95" customHeight="1" x14ac:dyDescent="0.2">
      <c r="A15" s="14" t="s">
        <v>17</v>
      </c>
      <c r="B15" s="49"/>
      <c r="C15" s="15">
        <f ca="1">(C7+C11)+(C8+C12)*INT(MAX(F21:F3531))</f>
        <v>58977.914330106869</v>
      </c>
      <c r="E15" s="57" t="s">
        <v>41</v>
      </c>
      <c r="F15" s="60">
        <f ca="1">ROUND(2*($F$14-$C$7)/$C$8,0)/2+$F$13</f>
        <v>14707</v>
      </c>
    </row>
    <row r="16" spans="1:6" ht="12.95" customHeight="1" x14ac:dyDescent="0.2">
      <c r="A16" s="17" t="s">
        <v>4</v>
      </c>
      <c r="B16" s="49"/>
      <c r="C16" s="18">
        <f ca="1">+C8+C12</f>
        <v>0.40266537395455015</v>
      </c>
      <c r="E16" s="57" t="s">
        <v>31</v>
      </c>
      <c r="F16" s="60">
        <f ca="1">ROUND(2*($F$14-$C$15)/$C$16,0)/2+$F$13</f>
        <v>3849.5</v>
      </c>
    </row>
    <row r="17" spans="1:21" ht="12.95" customHeight="1" thickBot="1" x14ac:dyDescent="0.25">
      <c r="A17" s="16" t="s">
        <v>27</v>
      </c>
      <c r="B17" s="49"/>
      <c r="C17" s="12">
        <f>COUNT(C21:C2189)</f>
        <v>21</v>
      </c>
      <c r="E17" s="57" t="s">
        <v>131</v>
      </c>
      <c r="F17" s="63">
        <f ca="1">+$C$15+$C$16*$F$16-15018.5-$C$5/24</f>
        <v>45509.870520478245</v>
      </c>
    </row>
    <row r="18" spans="1:21" ht="12.95" customHeight="1" thickTop="1" thickBot="1" x14ac:dyDescent="0.25">
      <c r="A18" s="17" t="s">
        <v>5</v>
      </c>
      <c r="B18" s="49"/>
      <c r="C18" s="20">
        <f ca="1">+C15</f>
        <v>58977.914330106869</v>
      </c>
      <c r="D18" s="21">
        <f ca="1">+C16</f>
        <v>0.40266537395455015</v>
      </c>
      <c r="E18" s="58" t="s">
        <v>132</v>
      </c>
      <c r="F18" s="64">
        <f ca="1">+($C$15+$C$16*$F$16)-($C$16/2)-15018.5-$C$5/24</f>
        <v>45509.669187791267</v>
      </c>
    </row>
    <row r="19" spans="1:21" ht="12.95" customHeight="1" thickTop="1" x14ac:dyDescent="0.2">
      <c r="E19" s="16"/>
      <c r="F19" s="19"/>
    </row>
    <row r="20" spans="1:21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133</v>
      </c>
      <c r="I20" s="7" t="s">
        <v>59</v>
      </c>
      <c r="J20" s="7" t="s">
        <v>53</v>
      </c>
      <c r="K20" s="7" t="s">
        <v>51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4"/>
      <c r="S20" s="4"/>
      <c r="T20" s="4"/>
      <c r="U20" s="33" t="s">
        <v>47</v>
      </c>
    </row>
    <row r="21" spans="1:21" ht="12.95" customHeight="1" x14ac:dyDescent="0.2">
      <c r="A21" s="47" t="s">
        <v>65</v>
      </c>
      <c r="B21" s="50" t="s">
        <v>43</v>
      </c>
      <c r="C21" s="48">
        <v>37669.224000000002</v>
      </c>
      <c r="D21" s="48" t="s">
        <v>59</v>
      </c>
      <c r="E21">
        <f>+(C21-C$7)/C$8</f>
        <v>-42060.192612386185</v>
      </c>
      <c r="F21">
        <f>ROUND(2*E21,0)/2</f>
        <v>-42060</v>
      </c>
      <c r="G21">
        <f>+C21-(C$7+F21*C$8)</f>
        <v>-7.7559999990626238E-2</v>
      </c>
      <c r="I21">
        <f>+G21</f>
        <v>-7.7559999990626238E-2</v>
      </c>
      <c r="O21">
        <f ca="1">+C$11+C$12*$F21</f>
        <v>0.36651117998736038</v>
      </c>
      <c r="Q21" s="2">
        <f>+C21-15018.5</f>
        <v>22650.724000000002</v>
      </c>
      <c r="R21" s="2"/>
      <c r="S21" s="2"/>
      <c r="T21" s="2"/>
    </row>
    <row r="22" spans="1:21" ht="12.95" customHeight="1" x14ac:dyDescent="0.2">
      <c r="A22" s="47" t="s">
        <v>65</v>
      </c>
      <c r="B22" s="50" t="s">
        <v>37</v>
      </c>
      <c r="C22" s="48">
        <v>37906.559999999998</v>
      </c>
      <c r="D22" s="48" t="s">
        <v>59</v>
      </c>
      <c r="E22">
        <f>+(C22-C$7)/C$8</f>
        <v>-41470.792750463152</v>
      </c>
      <c r="F22">
        <f>ROUND(2*E22,0)/2</f>
        <v>-41471</v>
      </c>
      <c r="G22">
        <f>+C22-(C$7+F22*C$8)</f>
        <v>8.3453999999619555E-2</v>
      </c>
      <c r="I22">
        <f>+G22</f>
        <v>8.3453999999619555E-2</v>
      </c>
      <c r="O22">
        <f ca="1">+C$11+C$12*$F22</f>
        <v>0.36143043921742785</v>
      </c>
      <c r="Q22" s="2">
        <f>+C22-15018.5</f>
        <v>22888.059999999998</v>
      </c>
      <c r="R22" s="2"/>
      <c r="S22" s="2"/>
      <c r="T22" s="2"/>
    </row>
    <row r="23" spans="1:21" ht="12.95" customHeight="1" x14ac:dyDescent="0.2">
      <c r="A23" s="47" t="s">
        <v>65</v>
      </c>
      <c r="B23" s="50" t="s">
        <v>43</v>
      </c>
      <c r="C23" s="48">
        <v>37907.572999999997</v>
      </c>
      <c r="D23" s="48" t="s">
        <v>59</v>
      </c>
      <c r="E23">
        <f>+(C23-C$7)/C$8</f>
        <v>-41468.277067801748</v>
      </c>
      <c r="F23">
        <f>ROUND(2*E23,0)/2</f>
        <v>-41468.5</v>
      </c>
      <c r="G23">
        <f>+C23-(C$7+F23*C$8)</f>
        <v>8.9768999998341314E-2</v>
      </c>
      <c r="I23">
        <f>+G23</f>
        <v>8.9768999998341314E-2</v>
      </c>
      <c r="O23">
        <f ca="1">+C$11+C$12*$F23</f>
        <v>0.36140887410380335</v>
      </c>
      <c r="Q23" s="2">
        <f>+C23-15018.5</f>
        <v>22889.072999999997</v>
      </c>
      <c r="R23" s="2"/>
      <c r="S23" s="2"/>
      <c r="T23" s="2"/>
    </row>
    <row r="24" spans="1:21" ht="12.95" customHeight="1" x14ac:dyDescent="0.2">
      <c r="A24" s="47" t="s">
        <v>65</v>
      </c>
      <c r="B24" s="50" t="s">
        <v>43</v>
      </c>
      <c r="C24" s="48">
        <v>37911.567999999999</v>
      </c>
      <c r="D24" s="48" t="s">
        <v>59</v>
      </c>
      <c r="E24">
        <f>+(C24-C$7)/C$8</f>
        <v>-41458.355890869534</v>
      </c>
      <c r="F24">
        <f>ROUND(2*E24,0)/2</f>
        <v>-41458.5</v>
      </c>
      <c r="G24">
        <f>+C24-(C$7+F24*C$8)</f>
        <v>5.8028999999805819E-2</v>
      </c>
      <c r="I24">
        <f>+G24</f>
        <v>5.8028999999805819E-2</v>
      </c>
      <c r="O24">
        <f ca="1">+C$11+C$12*$F24</f>
        <v>0.36132261364930535</v>
      </c>
      <c r="Q24" s="2">
        <f>+C24-15018.5</f>
        <v>22893.067999999999</v>
      </c>
      <c r="R24" s="2"/>
      <c r="S24" s="2"/>
      <c r="T24" s="2"/>
    </row>
    <row r="25" spans="1:21" ht="12.95" customHeight="1" x14ac:dyDescent="0.2">
      <c r="A25" s="47" t="s">
        <v>65</v>
      </c>
      <c r="B25" s="50" t="s">
        <v>43</v>
      </c>
      <c r="C25" s="48">
        <v>37917.618999999999</v>
      </c>
      <c r="D25" s="48" t="s">
        <v>59</v>
      </c>
      <c r="E25">
        <f>+(C25-C$7)/C$8</f>
        <v>-41443.328846660072</v>
      </c>
      <c r="F25">
        <f>ROUND(2*E25,0)/2</f>
        <v>-41443.5</v>
      </c>
      <c r="G25">
        <f>+C25-(C$7+F25*C$8)</f>
        <v>6.8919000004825648E-2</v>
      </c>
      <c r="I25">
        <f>+G25</f>
        <v>6.8919000004825648E-2</v>
      </c>
      <c r="O25">
        <f ca="1">+C$11+C$12*$F25</f>
        <v>0.36119322296755829</v>
      </c>
      <c r="Q25" s="2">
        <f>+C25-15018.5</f>
        <v>22899.118999999999</v>
      </c>
      <c r="R25" s="2"/>
      <c r="S25" s="2"/>
      <c r="T25" s="2"/>
    </row>
    <row r="26" spans="1:21" ht="12.95" customHeight="1" x14ac:dyDescent="0.2">
      <c r="A26" s="47" t="s">
        <v>65</v>
      </c>
      <c r="B26" s="50" t="s">
        <v>43</v>
      </c>
      <c r="C26" s="48">
        <v>37934.544000000002</v>
      </c>
      <c r="D26" s="48" t="s">
        <v>59</v>
      </c>
      <c r="E26">
        <f>+(C26-C$7)/C$8</f>
        <v>-41401.297327366548</v>
      </c>
      <c r="F26">
        <f>ROUND(2*E26,0)/2</f>
        <v>-41401.5</v>
      </c>
      <c r="G26">
        <f>+C26-(C$7+F26*C$8)</f>
        <v>8.1611000008706469E-2</v>
      </c>
      <c r="I26">
        <f>+G26</f>
        <v>8.1611000008706469E-2</v>
      </c>
      <c r="O26">
        <f ca="1">+C$11+C$12*$F26</f>
        <v>0.36083092905866671</v>
      </c>
      <c r="Q26" s="2">
        <f>+C26-15018.5</f>
        <v>22916.044000000002</v>
      </c>
      <c r="R26" s="2"/>
      <c r="S26" s="2"/>
      <c r="T26" s="2"/>
    </row>
    <row r="27" spans="1:21" ht="12.95" customHeight="1" x14ac:dyDescent="0.2">
      <c r="A27" s="47" t="s">
        <v>65</v>
      </c>
      <c r="B27" s="50" t="s">
        <v>43</v>
      </c>
      <c r="C27" s="48">
        <v>37941.413999999997</v>
      </c>
      <c r="D27" s="48" t="s">
        <v>59</v>
      </c>
      <c r="E27">
        <f>+(C27-C$7)/C$8</f>
        <v>-41384.236379801034</v>
      </c>
      <c r="F27">
        <f>ROUND(2*E27,0)/2</f>
        <v>-41384</v>
      </c>
      <c r="G27">
        <f>+C27-(C$7+F27*C$8)</f>
        <v>-9.5183999997971114E-2</v>
      </c>
      <c r="I27">
        <f>+G27</f>
        <v>-9.5183999997971114E-2</v>
      </c>
      <c r="O27">
        <f ca="1">+C$11+C$12*$F27</f>
        <v>0.36067997326329521</v>
      </c>
      <c r="Q27" s="2">
        <f>+C27-15018.5</f>
        <v>22922.913999999997</v>
      </c>
      <c r="R27" s="2"/>
      <c r="S27" s="2"/>
      <c r="T27" s="2"/>
    </row>
    <row r="28" spans="1:21" x14ac:dyDescent="0.2">
      <c r="A28" s="47" t="s">
        <v>65</v>
      </c>
      <c r="B28" s="50" t="s">
        <v>43</v>
      </c>
      <c r="C28" s="48">
        <v>37970.379999999997</v>
      </c>
      <c r="D28" s="48" t="s">
        <v>59</v>
      </c>
      <c r="E28">
        <f>+(C28-C$7)/C$8</f>
        <v>-41312.302259395939</v>
      </c>
      <c r="F28">
        <f>ROUND(2*E28,0)/2</f>
        <v>-41312.5</v>
      </c>
      <c r="G28">
        <f>+C28-(C$7+F28*C$8)</f>
        <v>7.9624999998486601E-2</v>
      </c>
      <c r="I28">
        <f>+G28</f>
        <v>7.9624999998486601E-2</v>
      </c>
      <c r="O28">
        <f ca="1">+C$11+C$12*$F28</f>
        <v>0.36006321101363442</v>
      </c>
      <c r="Q28" s="2">
        <f>+C28-15018.5</f>
        <v>22951.879999999997</v>
      </c>
      <c r="R28" s="2"/>
      <c r="S28" s="2"/>
      <c r="T28" s="2"/>
    </row>
    <row r="29" spans="1:21" x14ac:dyDescent="0.2">
      <c r="A29" s="47" t="s">
        <v>65</v>
      </c>
      <c r="B29" s="50" t="s">
        <v>43</v>
      </c>
      <c r="C29" s="48">
        <v>38001.383000000002</v>
      </c>
      <c r="D29" s="48" t="s">
        <v>59</v>
      </c>
      <c r="E29">
        <f>+(C29-C$7)/C$8</f>
        <v>-41235.309456284725</v>
      </c>
      <c r="F29">
        <f>ROUND(2*E29,0)/2</f>
        <v>-41235.5</v>
      </c>
      <c r="G29">
        <f>+C29-(C$7+F29*C$8)</f>
        <v>7.6727000006940216E-2</v>
      </c>
      <c r="I29">
        <f>+G29</f>
        <v>7.6727000006940216E-2</v>
      </c>
      <c r="O29">
        <f ca="1">+C$11+C$12*$F29</f>
        <v>0.35939900551399978</v>
      </c>
      <c r="Q29" s="2">
        <f>+C29-15018.5</f>
        <v>22982.883000000002</v>
      </c>
      <c r="R29" s="2"/>
      <c r="S29" s="2"/>
      <c r="T29" s="2"/>
    </row>
    <row r="30" spans="1:21" x14ac:dyDescent="0.2">
      <c r="A30" s="27" t="s">
        <v>38</v>
      </c>
      <c r="B30" s="28" t="s">
        <v>37</v>
      </c>
      <c r="C30" s="27">
        <v>54343.439409999999</v>
      </c>
      <c r="D30" s="27">
        <v>2.0000000000000001E-4</v>
      </c>
      <c r="E30">
        <f>+(C30-C$7)/C$8</f>
        <v>-651.47138876609313</v>
      </c>
      <c r="F30">
        <f>ROUND(2*E30,0)/2</f>
        <v>-651.5</v>
      </c>
      <c r="G30">
        <f>+C30-(C$7+F30*C$8)</f>
        <v>1.1521000000357162E-2</v>
      </c>
      <c r="K30">
        <f>+G30</f>
        <v>1.1521000000357162E-2</v>
      </c>
      <c r="O30">
        <f ca="1">+C$11+C$12*$F30</f>
        <v>9.3195769792926327E-3</v>
      </c>
      <c r="Q30" s="2">
        <f>+C30-15018.5</f>
        <v>39324.939409999999</v>
      </c>
      <c r="R30" s="2"/>
      <c r="S30" s="2"/>
      <c r="T30" s="2"/>
    </row>
    <row r="31" spans="1:21" x14ac:dyDescent="0.2">
      <c r="A31" s="65" t="s">
        <v>133</v>
      </c>
      <c r="C31" s="10">
        <v>54605.77</v>
      </c>
      <c r="D31" s="10"/>
      <c r="E31">
        <f>+(C31-C$7)/C$8</f>
        <v>0</v>
      </c>
      <c r="F31">
        <f>ROUND(2*E31,0)/2</f>
        <v>0</v>
      </c>
      <c r="G31">
        <f>+C31-(C$7+F31*C$8)</f>
        <v>0</v>
      </c>
      <c r="H31">
        <f>+G31</f>
        <v>0</v>
      </c>
      <c r="O31">
        <f ca="1">+C$11+C$12*$F31</f>
        <v>3.6997083687475493E-3</v>
      </c>
      <c r="Q31" s="2">
        <f>+C31-15018.5</f>
        <v>39587.269999999997</v>
      </c>
    </row>
    <row r="32" spans="1:21" x14ac:dyDescent="0.2">
      <c r="A32" s="29" t="s">
        <v>36</v>
      </c>
      <c r="B32" s="28" t="s">
        <v>37</v>
      </c>
      <c r="C32" s="27">
        <v>54955.489950000003</v>
      </c>
      <c r="D32" s="27">
        <v>2.0000000000000001E-4</v>
      </c>
      <c r="E32">
        <f>+(C32-C$7)/C$8</f>
        <v>868.49399265908926</v>
      </c>
      <c r="F32">
        <f>ROUND(2*E32,0)/2</f>
        <v>868.5</v>
      </c>
      <c r="G32">
        <f>+C32-(C$7+F32*C$8)</f>
        <v>-2.4189999967347831E-3</v>
      </c>
      <c r="K32">
        <f>+G32</f>
        <v>-2.4189999967347831E-3</v>
      </c>
      <c r="O32">
        <f ca="1">+C$11+C$12*$F32</f>
        <v>-3.792012104404263E-3</v>
      </c>
      <c r="Q32" s="2">
        <f>+C32-15018.5</f>
        <v>39936.989950000003</v>
      </c>
      <c r="R32" s="2"/>
      <c r="S32" s="2"/>
      <c r="T32" s="2"/>
    </row>
    <row r="33" spans="1:20" x14ac:dyDescent="0.2">
      <c r="A33" s="29" t="s">
        <v>42</v>
      </c>
      <c r="B33" s="28" t="s">
        <v>43</v>
      </c>
      <c r="C33" s="27">
        <v>55168.294620000001</v>
      </c>
      <c r="D33" s="27">
        <v>4.0000000000000002E-4</v>
      </c>
      <c r="E33">
        <f>+(C33-C$7)/C$8</f>
        <v>1396.972786919453</v>
      </c>
      <c r="F33">
        <f>ROUND(2*E33,0)/2</f>
        <v>1397</v>
      </c>
      <c r="G33">
        <f>+C33-(C$7+F33*C$8)</f>
        <v>-1.095799999893643E-2</v>
      </c>
      <c r="K33">
        <f>+G33</f>
        <v>-1.095799999893643E-2</v>
      </c>
      <c r="O33">
        <f ca="1">+C$11+C$12*$F33</f>
        <v>-8.3508771246238751E-3</v>
      </c>
      <c r="Q33" s="2">
        <f>+C33-15018.5</f>
        <v>40149.794620000001</v>
      </c>
      <c r="R33" s="2"/>
      <c r="S33" s="2"/>
      <c r="T33" s="2"/>
    </row>
    <row r="34" spans="1:20" x14ac:dyDescent="0.2">
      <c r="A34" s="30" t="s">
        <v>39</v>
      </c>
      <c r="B34" s="28"/>
      <c r="C34" s="27">
        <v>55322.920700000002</v>
      </c>
      <c r="D34" s="27">
        <v>2.0000000000000001E-4</v>
      </c>
      <c r="E34">
        <f>+(C34-C$7)/C$8</f>
        <v>1780.9709591381754</v>
      </c>
      <c r="F34">
        <f>ROUND(2*E34,0)/2</f>
        <v>1781</v>
      </c>
      <c r="G34">
        <f>+C34-(C$7+F34*C$8)</f>
        <v>-1.1693999993440229E-2</v>
      </c>
      <c r="K34">
        <f>+G34</f>
        <v>-1.1693999993440229E-2</v>
      </c>
      <c r="O34">
        <f ca="1">+C$11+C$12*$F34</f>
        <v>-1.1663278577347301E-2</v>
      </c>
      <c r="Q34" s="2">
        <f>+C34-15018.5</f>
        <v>40304.420700000002</v>
      </c>
      <c r="R34" s="2"/>
      <c r="S34" s="2"/>
      <c r="T34" s="2"/>
    </row>
    <row r="35" spans="1:20" x14ac:dyDescent="0.2">
      <c r="A35" s="51" t="s">
        <v>46</v>
      </c>
      <c r="B35" s="52" t="s">
        <v>43</v>
      </c>
      <c r="C35" s="53">
        <v>55672.434820000002</v>
      </c>
      <c r="D35" s="53">
        <v>2.9999999999999997E-4</v>
      </c>
      <c r="E35">
        <f>+(C35-C$7)/C$8</f>
        <v>2648.9537938878734</v>
      </c>
      <c r="F35">
        <f>ROUND(2*E35,0)/2</f>
        <v>2649</v>
      </c>
      <c r="G35">
        <f>+C35-(C$7+F35*C$8)</f>
        <v>-1.860599999781698E-2</v>
      </c>
      <c r="K35">
        <f>+G35</f>
        <v>-1.860599999781698E-2</v>
      </c>
      <c r="O35">
        <f ca="1">+C$11+C$12*$F35</f>
        <v>-1.9150686027774214E-2</v>
      </c>
      <c r="Q35" s="2">
        <f>+C35-15018.5</f>
        <v>40653.934820000002</v>
      </c>
      <c r="R35" s="2"/>
      <c r="S35" s="2"/>
      <c r="T35" s="2"/>
    </row>
    <row r="36" spans="1:20" x14ac:dyDescent="0.2">
      <c r="A36" s="31" t="s">
        <v>44</v>
      </c>
      <c r="B36" s="32" t="s">
        <v>43</v>
      </c>
      <c r="C36" s="31">
        <v>55730.825599999996</v>
      </c>
      <c r="D36" s="31">
        <v>8.0000000000000004E-4</v>
      </c>
      <c r="E36">
        <f>+(C36-C$7)/C$8</f>
        <v>2793.9613682532267</v>
      </c>
      <c r="F36">
        <f>ROUND(2*E36,0)/2</f>
        <v>2794</v>
      </c>
      <c r="G36">
        <f>+C36-(C$7+F36*C$8)</f>
        <v>-1.5555999998468906E-2</v>
      </c>
      <c r="K36">
        <f>+G36</f>
        <v>-1.5555999998468906E-2</v>
      </c>
      <c r="O36">
        <f ca="1">+C$11+C$12*$F36</f>
        <v>-2.0401462617995299E-2</v>
      </c>
      <c r="Q36" s="2">
        <f>+C36-15018.5</f>
        <v>40712.325599999996</v>
      </c>
      <c r="R36" s="2"/>
      <c r="S36" s="2"/>
      <c r="T36" s="2"/>
    </row>
    <row r="37" spans="1:20" x14ac:dyDescent="0.2">
      <c r="A37" s="30" t="s">
        <v>45</v>
      </c>
      <c r="B37" s="28"/>
      <c r="C37" s="27">
        <v>56119.796199999997</v>
      </c>
      <c r="D37" s="27">
        <v>4.0000000000000002E-4</v>
      </c>
      <c r="E37">
        <f>+(C37-C$7)/C$8</f>
        <v>3759.9303655065892</v>
      </c>
      <c r="F37">
        <f>ROUND(2*E37,0)/2</f>
        <v>3760</v>
      </c>
      <c r="G37">
        <f>+C37-(C$7+F37*C$8)</f>
        <v>-2.8039999997417908E-2</v>
      </c>
      <c r="K37">
        <f>+G37</f>
        <v>-2.8039999997417908E-2</v>
      </c>
      <c r="O37">
        <f ca="1">+C$11+C$12*$F37</f>
        <v>-2.873422252250267E-2</v>
      </c>
      <c r="Q37" s="2">
        <f>+C37-15018.5</f>
        <v>41101.296199999997</v>
      </c>
      <c r="R37" s="2"/>
      <c r="S37" s="2"/>
      <c r="T37" s="2"/>
    </row>
    <row r="38" spans="1:20" x14ac:dyDescent="0.2">
      <c r="A38" s="54" t="s">
        <v>127</v>
      </c>
      <c r="B38" s="55" t="s">
        <v>43</v>
      </c>
      <c r="C38" s="56">
        <v>57121.623330000002</v>
      </c>
      <c r="D38" s="56">
        <v>2.9999999999999997E-4</v>
      </c>
      <c r="E38">
        <f>+(C38-C$7)/C$8</f>
        <v>6247.866338526961</v>
      </c>
      <c r="F38">
        <f>ROUND(2*E38,0)/2</f>
        <v>6248</v>
      </c>
      <c r="G38">
        <f>+C38-(C$7+F38*C$8)</f>
        <v>-5.3821999994397629E-2</v>
      </c>
      <c r="K38">
        <f>+G38</f>
        <v>-5.3821999994397629E-2</v>
      </c>
      <c r="O38">
        <f ca="1">+C$11+C$12*$F38</f>
        <v>-5.0195823601606536E-2</v>
      </c>
      <c r="Q38" s="2">
        <f>+C38-15018.5</f>
        <v>42103.123330000002</v>
      </c>
    </row>
    <row r="39" spans="1:20" x14ac:dyDescent="0.2">
      <c r="A39" s="30" t="s">
        <v>126</v>
      </c>
      <c r="C39" s="10">
        <v>57179.811399999999</v>
      </c>
      <c r="D39" s="10">
        <v>4.0000000000000002E-4</v>
      </c>
      <c r="E39">
        <f>+(C39-C$7)/C$8</f>
        <v>6392.3705031862055</v>
      </c>
      <c r="F39">
        <f>ROUND(2*E39,0)/2</f>
        <v>6392.5</v>
      </c>
      <c r="G39">
        <f>+C39-(C$7+F39*C$8)</f>
        <v>-5.2145000001473818E-2</v>
      </c>
      <c r="K39">
        <f>+G39</f>
        <v>-5.2145000001473818E-2</v>
      </c>
      <c r="O39">
        <f ca="1">+C$11+C$12*$F39</f>
        <v>-5.1442287169102721E-2</v>
      </c>
      <c r="Q39" s="2">
        <f>+C39-15018.5</f>
        <v>42161.311399999999</v>
      </c>
      <c r="R39" s="2"/>
      <c r="S39" s="2"/>
      <c r="T39" s="2"/>
    </row>
    <row r="40" spans="1:20" x14ac:dyDescent="0.2">
      <c r="A40" s="5" t="s">
        <v>128</v>
      </c>
      <c r="C40" s="10">
        <v>57908.836799999997</v>
      </c>
      <c r="D40" s="10">
        <v>1E-4</v>
      </c>
      <c r="E40">
        <f>+(C40-C$7)/C$8</f>
        <v>8202.8310742685171</v>
      </c>
      <c r="F40">
        <f>ROUND(2*E40,0)/2</f>
        <v>8203</v>
      </c>
      <c r="G40">
        <f>+C40-(C$7+F40*C$8)</f>
        <v>-6.8021999999473337E-2</v>
      </c>
      <c r="K40">
        <f>+G40</f>
        <v>-6.8021999999473337E-2</v>
      </c>
      <c r="O40">
        <f ca="1">+C$11+C$12*$F40</f>
        <v>-6.7059742455966687E-2</v>
      </c>
      <c r="Q40" s="2">
        <f>+C40-15018.5</f>
        <v>42890.336799999997</v>
      </c>
    </row>
    <row r="41" spans="1:20" x14ac:dyDescent="0.2">
      <c r="A41" s="5" t="s">
        <v>129</v>
      </c>
      <c r="C41" s="10">
        <v>58977.916299999997</v>
      </c>
      <c r="D41" s="10">
        <v>2.0000000000000001E-4</v>
      </c>
      <c r="E41">
        <f>+(C41-C$7)/C$8</f>
        <v>10857.781480800848</v>
      </c>
      <c r="F41">
        <f>ROUND(2*E41,0)/2</f>
        <v>10858</v>
      </c>
      <c r="G41">
        <f>+C41-(C$7+F41*C$8)</f>
        <v>-8.7992000000667758E-2</v>
      </c>
      <c r="K41">
        <f>+G41</f>
        <v>-8.7992000000667758E-2</v>
      </c>
      <c r="O41">
        <f ca="1">+C$11+C$12*$F41</f>
        <v>-8.9961893125187264E-2</v>
      </c>
      <c r="Q41" s="2">
        <f>+C41-15018.5</f>
        <v>43959.416299999997</v>
      </c>
    </row>
    <row r="42" spans="1:20" x14ac:dyDescent="0.2">
      <c r="C42" s="10"/>
      <c r="D42" s="10"/>
    </row>
    <row r="43" spans="1:20" x14ac:dyDescent="0.2">
      <c r="C43" s="10"/>
      <c r="D43" s="10"/>
    </row>
    <row r="44" spans="1:20" x14ac:dyDescent="0.2">
      <c r="C44" s="10"/>
      <c r="D44" s="10"/>
    </row>
    <row r="45" spans="1:20" x14ac:dyDescent="0.2">
      <c r="C45" s="10"/>
      <c r="D45" s="10"/>
    </row>
    <row r="46" spans="1:20" x14ac:dyDescent="0.2">
      <c r="C46" s="10"/>
      <c r="D46" s="10"/>
    </row>
    <row r="47" spans="1:20" x14ac:dyDescent="0.2">
      <c r="C47" s="10"/>
      <c r="D47" s="10"/>
    </row>
    <row r="48" spans="1:20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</sheetData>
  <sortState xmlns:xlrd2="http://schemas.microsoft.com/office/spreadsheetml/2017/richdata2" ref="A21:AB42">
    <sortCondition ref="C21:C42"/>
  </sortState>
  <phoneticPr fontId="8" type="noConversion"/>
  <hyperlinks>
    <hyperlink ref="H734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30"/>
  <sheetViews>
    <sheetView topLeftCell="A4" workbookViewId="0">
      <selection activeCell="A16" sqref="A16:D26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4" t="s">
        <v>49</v>
      </c>
      <c r="I1" s="35" t="s">
        <v>50</v>
      </c>
      <c r="J1" s="36" t="s">
        <v>51</v>
      </c>
    </row>
    <row r="2" spans="1:16" x14ac:dyDescent="0.2">
      <c r="I2" s="37" t="s">
        <v>52</v>
      </c>
      <c r="J2" s="38" t="s">
        <v>53</v>
      </c>
    </row>
    <row r="3" spans="1:16" x14ac:dyDescent="0.2">
      <c r="A3" s="39" t="s">
        <v>54</v>
      </c>
      <c r="I3" s="37" t="s">
        <v>55</v>
      </c>
      <c r="J3" s="38" t="s">
        <v>56</v>
      </c>
    </row>
    <row r="4" spans="1:16" x14ac:dyDescent="0.2">
      <c r="I4" s="37" t="s">
        <v>57</v>
      </c>
      <c r="J4" s="38" t="s">
        <v>56</v>
      </c>
    </row>
    <row r="5" spans="1:16" ht="13.5" thickBot="1" x14ac:dyDescent="0.25">
      <c r="I5" s="40" t="s">
        <v>58</v>
      </c>
      <c r="J5" s="41" t="s">
        <v>59</v>
      </c>
    </row>
    <row r="10" spans="1:16" ht="13.5" thickBot="1" x14ac:dyDescent="0.25"/>
    <row r="11" spans="1:16" ht="12.75" customHeight="1" thickBot="1" x14ac:dyDescent="0.25">
      <c r="A11" s="10" t="str">
        <f t="shared" ref="A11:A26" si="0">P11</f>
        <v>OEJV 0074 </v>
      </c>
      <c r="B11" s="3" t="str">
        <f t="shared" ref="B11:B26" si="1">IF(H11=INT(H11),"I","II")</f>
        <v>II</v>
      </c>
      <c r="C11" s="10">
        <f t="shared" ref="C11:C26" si="2">1*G11</f>
        <v>54343.439409999999</v>
      </c>
      <c r="D11" s="12" t="str">
        <f t="shared" ref="D11:D26" si="3">VLOOKUP(F11,I$1:J$5,2,FALSE)</f>
        <v>vis</v>
      </c>
      <c r="E11" s="42">
        <f>VLOOKUP(C11,Active!C$21:E$971,3,FALSE)</f>
        <v>-651.47138876609313</v>
      </c>
      <c r="F11" s="3" t="s">
        <v>58</v>
      </c>
      <c r="G11" s="12" t="str">
        <f t="shared" ref="G11:G26" si="4">MID(I11,3,LEN(I11)-3)</f>
        <v>54343.43941</v>
      </c>
      <c r="H11" s="10">
        <f t="shared" ref="H11:H26" si="5">1*K11</f>
        <v>4577.5</v>
      </c>
      <c r="I11" s="43" t="s">
        <v>90</v>
      </c>
      <c r="J11" s="44" t="s">
        <v>91</v>
      </c>
      <c r="K11" s="43">
        <v>4577.5</v>
      </c>
      <c r="L11" s="43" t="s">
        <v>92</v>
      </c>
      <c r="M11" s="44" t="s">
        <v>93</v>
      </c>
      <c r="N11" s="44" t="s">
        <v>94</v>
      </c>
      <c r="O11" s="45" t="s">
        <v>95</v>
      </c>
      <c r="P11" s="46" t="s">
        <v>96</v>
      </c>
    </row>
    <row r="12" spans="1:16" ht="12.75" customHeight="1" thickBot="1" x14ac:dyDescent="0.25">
      <c r="A12" s="10" t="str">
        <f t="shared" si="0"/>
        <v>IBVS 5966 </v>
      </c>
      <c r="B12" s="3" t="str">
        <f t="shared" si="1"/>
        <v>I</v>
      </c>
      <c r="C12" s="10">
        <f t="shared" si="2"/>
        <v>55322.920700000002</v>
      </c>
      <c r="D12" s="12" t="str">
        <f t="shared" si="3"/>
        <v>vis</v>
      </c>
      <c r="E12" s="42">
        <f>VLOOKUP(C12,Active!C$21:E$971,3,FALSE)</f>
        <v>1780.9709591381754</v>
      </c>
      <c r="F12" s="3" t="s">
        <v>58</v>
      </c>
      <c r="G12" s="12" t="str">
        <f t="shared" si="4"/>
        <v>55322.9207</v>
      </c>
      <c r="H12" s="10">
        <f t="shared" si="5"/>
        <v>7010</v>
      </c>
      <c r="I12" s="43" t="s">
        <v>107</v>
      </c>
      <c r="J12" s="44" t="s">
        <v>108</v>
      </c>
      <c r="K12" s="43">
        <v>7010</v>
      </c>
      <c r="L12" s="43" t="s">
        <v>109</v>
      </c>
      <c r="M12" s="44" t="s">
        <v>93</v>
      </c>
      <c r="N12" s="44" t="s">
        <v>94</v>
      </c>
      <c r="O12" s="45" t="s">
        <v>110</v>
      </c>
      <c r="P12" s="46" t="s">
        <v>111</v>
      </c>
    </row>
    <row r="13" spans="1:16" ht="12.75" customHeight="1" thickBot="1" x14ac:dyDescent="0.25">
      <c r="A13" s="10" t="str">
        <f t="shared" si="0"/>
        <v>OEJV 0160 </v>
      </c>
      <c r="B13" s="3" t="str">
        <f t="shared" si="1"/>
        <v>I</v>
      </c>
      <c r="C13" s="10">
        <f t="shared" si="2"/>
        <v>55672.434820000002</v>
      </c>
      <c r="D13" s="12" t="str">
        <f t="shared" si="3"/>
        <v>vis</v>
      </c>
      <c r="E13" s="42">
        <f>VLOOKUP(C13,Active!C$21:E$971,3,FALSE)</f>
        <v>2648.9537938878734</v>
      </c>
      <c r="F13" s="3" t="s">
        <v>58</v>
      </c>
      <c r="G13" s="12" t="str">
        <f t="shared" si="4"/>
        <v>55672.43482</v>
      </c>
      <c r="H13" s="10">
        <f t="shared" si="5"/>
        <v>7878</v>
      </c>
      <c r="I13" s="43" t="s">
        <v>112</v>
      </c>
      <c r="J13" s="44" t="s">
        <v>113</v>
      </c>
      <c r="K13" s="43">
        <v>7878</v>
      </c>
      <c r="L13" s="43" t="s">
        <v>114</v>
      </c>
      <c r="M13" s="44" t="s">
        <v>93</v>
      </c>
      <c r="N13" s="44" t="s">
        <v>50</v>
      </c>
      <c r="O13" s="45" t="s">
        <v>115</v>
      </c>
      <c r="P13" s="46" t="s">
        <v>116</v>
      </c>
    </row>
    <row r="14" spans="1:16" ht="12.75" customHeight="1" thickBot="1" x14ac:dyDescent="0.25">
      <c r="A14" s="10" t="str">
        <f t="shared" si="0"/>
        <v>IBVS 5992 </v>
      </c>
      <c r="B14" s="3" t="str">
        <f t="shared" si="1"/>
        <v>I</v>
      </c>
      <c r="C14" s="10">
        <f t="shared" si="2"/>
        <v>55730.825599999996</v>
      </c>
      <c r="D14" s="12" t="str">
        <f t="shared" si="3"/>
        <v>vis</v>
      </c>
      <c r="E14" s="42">
        <f>VLOOKUP(C14,Active!C$21:E$971,3,FALSE)</f>
        <v>2793.9613682532267</v>
      </c>
      <c r="F14" s="3" t="s">
        <v>58</v>
      </c>
      <c r="G14" s="12" t="str">
        <f t="shared" si="4"/>
        <v>55730.8256</v>
      </c>
      <c r="H14" s="10">
        <f t="shared" si="5"/>
        <v>8023</v>
      </c>
      <c r="I14" s="43" t="s">
        <v>117</v>
      </c>
      <c r="J14" s="44" t="s">
        <v>118</v>
      </c>
      <c r="K14" s="43">
        <v>8023</v>
      </c>
      <c r="L14" s="43" t="s">
        <v>119</v>
      </c>
      <c r="M14" s="44" t="s">
        <v>93</v>
      </c>
      <c r="N14" s="44" t="s">
        <v>58</v>
      </c>
      <c r="O14" s="45" t="s">
        <v>120</v>
      </c>
      <c r="P14" s="46" t="s">
        <v>121</v>
      </c>
    </row>
    <row r="15" spans="1:16" ht="12.75" customHeight="1" thickBot="1" x14ac:dyDescent="0.25">
      <c r="A15" s="10" t="str">
        <f t="shared" si="0"/>
        <v>IBVS 6050 </v>
      </c>
      <c r="B15" s="3" t="str">
        <f t="shared" si="1"/>
        <v>I</v>
      </c>
      <c r="C15" s="10">
        <f t="shared" si="2"/>
        <v>56119.796199999997</v>
      </c>
      <c r="D15" s="12" t="str">
        <f t="shared" si="3"/>
        <v>vis</v>
      </c>
      <c r="E15" s="42">
        <f>VLOOKUP(C15,Active!C$21:E$971,3,FALSE)</f>
        <v>3759.9303655065892</v>
      </c>
      <c r="F15" s="3" t="s">
        <v>58</v>
      </c>
      <c r="G15" s="12" t="str">
        <f t="shared" si="4"/>
        <v>56119.7962</v>
      </c>
      <c r="H15" s="10">
        <f t="shared" si="5"/>
        <v>8989</v>
      </c>
      <c r="I15" s="43" t="s">
        <v>122</v>
      </c>
      <c r="J15" s="44" t="s">
        <v>123</v>
      </c>
      <c r="K15" s="43">
        <v>8989</v>
      </c>
      <c r="L15" s="43" t="s">
        <v>124</v>
      </c>
      <c r="M15" s="44" t="s">
        <v>93</v>
      </c>
      <c r="N15" s="44" t="s">
        <v>94</v>
      </c>
      <c r="O15" s="45" t="s">
        <v>110</v>
      </c>
      <c r="P15" s="46" t="s">
        <v>125</v>
      </c>
    </row>
    <row r="16" spans="1:16" ht="12.75" customHeight="1" thickBot="1" x14ac:dyDescent="0.25">
      <c r="A16" s="10" t="str">
        <f t="shared" si="0"/>
        <v> VSS 7.102 </v>
      </c>
      <c r="B16" s="3" t="str">
        <f t="shared" si="1"/>
        <v>I</v>
      </c>
      <c r="C16" s="10">
        <f t="shared" si="2"/>
        <v>37669.224000000002</v>
      </c>
      <c r="D16" s="12" t="str">
        <f t="shared" si="3"/>
        <v>vis</v>
      </c>
      <c r="E16" s="42">
        <f>VLOOKUP(C16,Active!C$21:E$971,3,FALSE)</f>
        <v>-42060.192612386185</v>
      </c>
      <c r="F16" s="3" t="s">
        <v>58</v>
      </c>
      <c r="G16" s="12" t="str">
        <f t="shared" si="4"/>
        <v>37669.224</v>
      </c>
      <c r="H16" s="10">
        <f t="shared" si="5"/>
        <v>-36832</v>
      </c>
      <c r="I16" s="43" t="s">
        <v>60</v>
      </c>
      <c r="J16" s="44" t="s">
        <v>61</v>
      </c>
      <c r="K16" s="43">
        <v>-36832</v>
      </c>
      <c r="L16" s="43" t="s">
        <v>62</v>
      </c>
      <c r="M16" s="44" t="s">
        <v>63</v>
      </c>
      <c r="N16" s="44"/>
      <c r="O16" s="45" t="s">
        <v>64</v>
      </c>
      <c r="P16" s="45" t="s">
        <v>65</v>
      </c>
    </row>
    <row r="17" spans="1:16" ht="12.75" customHeight="1" thickBot="1" x14ac:dyDescent="0.25">
      <c r="A17" s="10" t="str">
        <f t="shared" si="0"/>
        <v> VSS 7.102 </v>
      </c>
      <c r="B17" s="3" t="str">
        <f t="shared" si="1"/>
        <v>II</v>
      </c>
      <c r="C17" s="10">
        <f t="shared" si="2"/>
        <v>37906.559999999998</v>
      </c>
      <c r="D17" s="12" t="str">
        <f t="shared" si="3"/>
        <v>vis</v>
      </c>
      <c r="E17" s="42">
        <f>VLOOKUP(C17,Active!C$21:E$971,3,FALSE)</f>
        <v>-41470.792750463152</v>
      </c>
      <c r="F17" s="3" t="s">
        <v>58</v>
      </c>
      <c r="G17" s="12" t="str">
        <f t="shared" si="4"/>
        <v>37906.560</v>
      </c>
      <c r="H17" s="10">
        <f t="shared" si="5"/>
        <v>-36242.5</v>
      </c>
      <c r="I17" s="43" t="s">
        <v>66</v>
      </c>
      <c r="J17" s="44" t="s">
        <v>67</v>
      </c>
      <c r="K17" s="43">
        <v>-36242.5</v>
      </c>
      <c r="L17" s="43" t="s">
        <v>68</v>
      </c>
      <c r="M17" s="44" t="s">
        <v>63</v>
      </c>
      <c r="N17" s="44"/>
      <c r="O17" s="45" t="s">
        <v>64</v>
      </c>
      <c r="P17" s="45" t="s">
        <v>65</v>
      </c>
    </row>
    <row r="18" spans="1:16" ht="12.75" customHeight="1" thickBot="1" x14ac:dyDescent="0.25">
      <c r="A18" s="10" t="str">
        <f t="shared" si="0"/>
        <v> VSS 7.102 </v>
      </c>
      <c r="B18" s="3" t="str">
        <f t="shared" si="1"/>
        <v>I</v>
      </c>
      <c r="C18" s="10">
        <f t="shared" si="2"/>
        <v>37907.572999999997</v>
      </c>
      <c r="D18" s="12" t="str">
        <f t="shared" si="3"/>
        <v>vis</v>
      </c>
      <c r="E18" s="42">
        <f>VLOOKUP(C18,Active!C$21:E$971,3,FALSE)</f>
        <v>-41468.277067801748</v>
      </c>
      <c r="F18" s="3" t="s">
        <v>58</v>
      </c>
      <c r="G18" s="12" t="str">
        <f t="shared" si="4"/>
        <v>37907.573</v>
      </c>
      <c r="H18" s="10">
        <f t="shared" si="5"/>
        <v>-36240</v>
      </c>
      <c r="I18" s="43" t="s">
        <v>69</v>
      </c>
      <c r="J18" s="44" t="s">
        <v>70</v>
      </c>
      <c r="K18" s="43">
        <v>-36240</v>
      </c>
      <c r="L18" s="43" t="s">
        <v>71</v>
      </c>
      <c r="M18" s="44" t="s">
        <v>63</v>
      </c>
      <c r="N18" s="44"/>
      <c r="O18" s="45" t="s">
        <v>64</v>
      </c>
      <c r="P18" s="45" t="s">
        <v>65</v>
      </c>
    </row>
    <row r="19" spans="1:16" ht="12.75" customHeight="1" thickBot="1" x14ac:dyDescent="0.25">
      <c r="A19" s="10" t="str">
        <f t="shared" si="0"/>
        <v> VSS 7.102 </v>
      </c>
      <c r="B19" s="3" t="str">
        <f t="shared" si="1"/>
        <v>I</v>
      </c>
      <c r="C19" s="10">
        <f t="shared" si="2"/>
        <v>37911.567999999999</v>
      </c>
      <c r="D19" s="12" t="str">
        <f t="shared" si="3"/>
        <v>vis</v>
      </c>
      <c r="E19" s="42">
        <f>VLOOKUP(C19,Active!C$21:E$971,3,FALSE)</f>
        <v>-41458.355890869534</v>
      </c>
      <c r="F19" s="3" t="s">
        <v>58</v>
      </c>
      <c r="G19" s="12" t="str">
        <f t="shared" si="4"/>
        <v>37911.568</v>
      </c>
      <c r="H19" s="10">
        <f t="shared" si="5"/>
        <v>-36230</v>
      </c>
      <c r="I19" s="43" t="s">
        <v>72</v>
      </c>
      <c r="J19" s="44" t="s">
        <v>73</v>
      </c>
      <c r="K19" s="43">
        <v>-36230</v>
      </c>
      <c r="L19" s="43" t="s">
        <v>74</v>
      </c>
      <c r="M19" s="44" t="s">
        <v>63</v>
      </c>
      <c r="N19" s="44"/>
      <c r="O19" s="45" t="s">
        <v>64</v>
      </c>
      <c r="P19" s="45" t="s">
        <v>65</v>
      </c>
    </row>
    <row r="20" spans="1:16" ht="12.75" customHeight="1" thickBot="1" x14ac:dyDescent="0.25">
      <c r="A20" s="10" t="str">
        <f t="shared" si="0"/>
        <v> VSS 7.102 </v>
      </c>
      <c r="B20" s="3" t="str">
        <f t="shared" si="1"/>
        <v>I</v>
      </c>
      <c r="C20" s="10">
        <f t="shared" si="2"/>
        <v>37917.618999999999</v>
      </c>
      <c r="D20" s="12" t="str">
        <f t="shared" si="3"/>
        <v>vis</v>
      </c>
      <c r="E20" s="42">
        <f>VLOOKUP(C20,Active!C$21:E$971,3,FALSE)</f>
        <v>-41443.328846660072</v>
      </c>
      <c r="F20" s="3" t="s">
        <v>58</v>
      </c>
      <c r="G20" s="12" t="str">
        <f t="shared" si="4"/>
        <v>37917.619</v>
      </c>
      <c r="H20" s="10">
        <f t="shared" si="5"/>
        <v>-36215</v>
      </c>
      <c r="I20" s="43" t="s">
        <v>75</v>
      </c>
      <c r="J20" s="44" t="s">
        <v>76</v>
      </c>
      <c r="K20" s="43">
        <v>-36215</v>
      </c>
      <c r="L20" s="43" t="s">
        <v>77</v>
      </c>
      <c r="M20" s="44" t="s">
        <v>63</v>
      </c>
      <c r="N20" s="44"/>
      <c r="O20" s="45" t="s">
        <v>64</v>
      </c>
      <c r="P20" s="45" t="s">
        <v>65</v>
      </c>
    </row>
    <row r="21" spans="1:16" ht="12.75" customHeight="1" thickBot="1" x14ac:dyDescent="0.25">
      <c r="A21" s="10" t="str">
        <f t="shared" si="0"/>
        <v> VSS 7.102 </v>
      </c>
      <c r="B21" s="3" t="str">
        <f t="shared" si="1"/>
        <v>I</v>
      </c>
      <c r="C21" s="10">
        <f t="shared" si="2"/>
        <v>37934.544000000002</v>
      </c>
      <c r="D21" s="12" t="str">
        <f t="shared" si="3"/>
        <v>vis</v>
      </c>
      <c r="E21" s="42">
        <f>VLOOKUP(C21,Active!C$21:E$971,3,FALSE)</f>
        <v>-41401.297327366548</v>
      </c>
      <c r="F21" s="3" t="s">
        <v>58</v>
      </c>
      <c r="G21" s="12" t="str">
        <f t="shared" si="4"/>
        <v>37934.544</v>
      </c>
      <c r="H21" s="10">
        <f t="shared" si="5"/>
        <v>-36173</v>
      </c>
      <c r="I21" s="43" t="s">
        <v>78</v>
      </c>
      <c r="J21" s="44" t="s">
        <v>79</v>
      </c>
      <c r="K21" s="43">
        <v>-36173</v>
      </c>
      <c r="L21" s="43" t="s">
        <v>80</v>
      </c>
      <c r="M21" s="44" t="s">
        <v>63</v>
      </c>
      <c r="N21" s="44"/>
      <c r="O21" s="45" t="s">
        <v>64</v>
      </c>
      <c r="P21" s="45" t="s">
        <v>65</v>
      </c>
    </row>
    <row r="22" spans="1:16" ht="12.75" customHeight="1" thickBot="1" x14ac:dyDescent="0.25">
      <c r="A22" s="10" t="str">
        <f t="shared" si="0"/>
        <v> VSS 7.102 </v>
      </c>
      <c r="B22" s="3" t="str">
        <f t="shared" si="1"/>
        <v>I</v>
      </c>
      <c r="C22" s="10">
        <f t="shared" si="2"/>
        <v>37941.413999999997</v>
      </c>
      <c r="D22" s="12" t="str">
        <f t="shared" si="3"/>
        <v>vis</v>
      </c>
      <c r="E22" s="42">
        <f>VLOOKUP(C22,Active!C$21:E$971,3,FALSE)</f>
        <v>-41384.236379801034</v>
      </c>
      <c r="F22" s="3" t="s">
        <v>58</v>
      </c>
      <c r="G22" s="12" t="str">
        <f t="shared" si="4"/>
        <v>37941.414</v>
      </c>
      <c r="H22" s="10">
        <f t="shared" si="5"/>
        <v>-36156</v>
      </c>
      <c r="I22" s="43" t="s">
        <v>81</v>
      </c>
      <c r="J22" s="44" t="s">
        <v>82</v>
      </c>
      <c r="K22" s="43">
        <v>-36156</v>
      </c>
      <c r="L22" s="43" t="s">
        <v>83</v>
      </c>
      <c r="M22" s="44" t="s">
        <v>63</v>
      </c>
      <c r="N22" s="44"/>
      <c r="O22" s="45" t="s">
        <v>64</v>
      </c>
      <c r="P22" s="45" t="s">
        <v>65</v>
      </c>
    </row>
    <row r="23" spans="1:16" ht="12.75" customHeight="1" thickBot="1" x14ac:dyDescent="0.25">
      <c r="A23" s="10" t="str">
        <f t="shared" si="0"/>
        <v> VSS 7.102 </v>
      </c>
      <c r="B23" s="3" t="str">
        <f t="shared" si="1"/>
        <v>I</v>
      </c>
      <c r="C23" s="10">
        <f t="shared" si="2"/>
        <v>37970.379999999997</v>
      </c>
      <c r="D23" s="12" t="str">
        <f t="shared" si="3"/>
        <v>vis</v>
      </c>
      <c r="E23" s="42">
        <f>VLOOKUP(C23,Active!C$21:E$971,3,FALSE)</f>
        <v>-41312.302259395939</v>
      </c>
      <c r="F23" s="3" t="s">
        <v>58</v>
      </c>
      <c r="G23" s="12" t="str">
        <f t="shared" si="4"/>
        <v>37970.380</v>
      </c>
      <c r="H23" s="10">
        <f t="shared" si="5"/>
        <v>-36084</v>
      </c>
      <c r="I23" s="43" t="s">
        <v>84</v>
      </c>
      <c r="J23" s="44" t="s">
        <v>85</v>
      </c>
      <c r="K23" s="43">
        <v>-36084</v>
      </c>
      <c r="L23" s="43" t="s">
        <v>86</v>
      </c>
      <c r="M23" s="44" t="s">
        <v>63</v>
      </c>
      <c r="N23" s="44"/>
      <c r="O23" s="45" t="s">
        <v>64</v>
      </c>
      <c r="P23" s="45" t="s">
        <v>65</v>
      </c>
    </row>
    <row r="24" spans="1:16" ht="12.75" customHeight="1" thickBot="1" x14ac:dyDescent="0.25">
      <c r="A24" s="10" t="str">
        <f t="shared" si="0"/>
        <v> VSS 7.102 </v>
      </c>
      <c r="B24" s="3" t="str">
        <f t="shared" si="1"/>
        <v>I</v>
      </c>
      <c r="C24" s="10">
        <f t="shared" si="2"/>
        <v>38001.383000000002</v>
      </c>
      <c r="D24" s="12" t="str">
        <f t="shared" si="3"/>
        <v>vis</v>
      </c>
      <c r="E24" s="42">
        <f>VLOOKUP(C24,Active!C$21:E$971,3,FALSE)</f>
        <v>-41235.309456284725</v>
      </c>
      <c r="F24" s="3" t="s">
        <v>58</v>
      </c>
      <c r="G24" s="12" t="str">
        <f t="shared" si="4"/>
        <v>38001.383</v>
      </c>
      <c r="H24" s="10">
        <f t="shared" si="5"/>
        <v>-36007</v>
      </c>
      <c r="I24" s="43" t="s">
        <v>87</v>
      </c>
      <c r="J24" s="44" t="s">
        <v>88</v>
      </c>
      <c r="K24" s="43">
        <v>-36007</v>
      </c>
      <c r="L24" s="43" t="s">
        <v>89</v>
      </c>
      <c r="M24" s="44" t="s">
        <v>63</v>
      </c>
      <c r="N24" s="44"/>
      <c r="O24" s="45" t="s">
        <v>64</v>
      </c>
      <c r="P24" s="45" t="s">
        <v>65</v>
      </c>
    </row>
    <row r="25" spans="1:16" ht="12.75" customHeight="1" thickBot="1" x14ac:dyDescent="0.25">
      <c r="A25" s="10" t="str">
        <f t="shared" si="0"/>
        <v>OEJV 0107 </v>
      </c>
      <c r="B25" s="3" t="str">
        <f t="shared" si="1"/>
        <v>II</v>
      </c>
      <c r="C25" s="10">
        <f t="shared" si="2"/>
        <v>54955.4899</v>
      </c>
      <c r="D25" s="12" t="str">
        <f t="shared" si="3"/>
        <v>vis</v>
      </c>
      <c r="E25" s="42" t="e">
        <f>VLOOKUP(C25,Active!C$21:E$971,3,FALSE)</f>
        <v>#N/A</v>
      </c>
      <c r="F25" s="3" t="s">
        <v>58</v>
      </c>
      <c r="G25" s="12" t="str">
        <f t="shared" si="4"/>
        <v>54955.4899</v>
      </c>
      <c r="H25" s="10">
        <f t="shared" si="5"/>
        <v>6097.5</v>
      </c>
      <c r="I25" s="43" t="s">
        <v>97</v>
      </c>
      <c r="J25" s="44" t="s">
        <v>98</v>
      </c>
      <c r="K25" s="43">
        <v>6097.5</v>
      </c>
      <c r="L25" s="43" t="s">
        <v>99</v>
      </c>
      <c r="M25" s="44" t="s">
        <v>93</v>
      </c>
      <c r="N25" s="44" t="s">
        <v>94</v>
      </c>
      <c r="O25" s="45" t="s">
        <v>100</v>
      </c>
      <c r="P25" s="46" t="s">
        <v>101</v>
      </c>
    </row>
    <row r="26" spans="1:16" ht="12.75" customHeight="1" thickBot="1" x14ac:dyDescent="0.25">
      <c r="A26" s="10" t="str">
        <f t="shared" si="0"/>
        <v>OEJV 0137 </v>
      </c>
      <c r="B26" s="3" t="str">
        <f t="shared" si="1"/>
        <v>I</v>
      </c>
      <c r="C26" s="10">
        <f t="shared" si="2"/>
        <v>55168.294600000001</v>
      </c>
      <c r="D26" s="12" t="str">
        <f t="shared" si="3"/>
        <v>vis</v>
      </c>
      <c r="E26" s="42" t="e">
        <f>VLOOKUP(C26,Active!C$21:E$971,3,FALSE)</f>
        <v>#N/A</v>
      </c>
      <c r="F26" s="3" t="s">
        <v>58</v>
      </c>
      <c r="G26" s="12" t="str">
        <f t="shared" si="4"/>
        <v>55168.2946</v>
      </c>
      <c r="H26" s="10">
        <f t="shared" si="5"/>
        <v>6626</v>
      </c>
      <c r="I26" s="43" t="s">
        <v>102</v>
      </c>
      <c r="J26" s="44" t="s">
        <v>103</v>
      </c>
      <c r="K26" s="43">
        <v>6626</v>
      </c>
      <c r="L26" s="43" t="s">
        <v>104</v>
      </c>
      <c r="M26" s="44" t="s">
        <v>93</v>
      </c>
      <c r="N26" s="44" t="s">
        <v>94</v>
      </c>
      <c r="O26" s="45" t="s">
        <v>105</v>
      </c>
      <c r="P26" s="46" t="s">
        <v>106</v>
      </c>
    </row>
    <row r="27" spans="1:16" x14ac:dyDescent="0.2">
      <c r="B27" s="3"/>
      <c r="E27" s="42"/>
      <c r="F27" s="3"/>
    </row>
    <row r="28" spans="1:16" x14ac:dyDescent="0.2">
      <c r="B28" s="3"/>
      <c r="E28" s="42"/>
      <c r="F28" s="3"/>
    </row>
    <row r="29" spans="1:16" x14ac:dyDescent="0.2">
      <c r="B29" s="3"/>
      <c r="E29" s="42"/>
      <c r="F29" s="3"/>
    </row>
    <row r="30" spans="1:16" x14ac:dyDescent="0.2">
      <c r="B30" s="3"/>
      <c r="E30" s="42"/>
      <c r="F30" s="3"/>
    </row>
    <row r="31" spans="1:16" x14ac:dyDescent="0.2">
      <c r="B31" s="3"/>
      <c r="E31" s="42"/>
      <c r="F31" s="3"/>
    </row>
    <row r="32" spans="1:16" x14ac:dyDescent="0.2">
      <c r="B32" s="3"/>
      <c r="E32" s="42"/>
      <c r="F32" s="3"/>
    </row>
    <row r="33" spans="2:6" x14ac:dyDescent="0.2">
      <c r="B33" s="3"/>
      <c r="E33" s="42"/>
      <c r="F33" s="3"/>
    </row>
    <row r="34" spans="2:6" x14ac:dyDescent="0.2">
      <c r="B34" s="3"/>
      <c r="E34" s="42"/>
      <c r="F34" s="3"/>
    </row>
    <row r="35" spans="2:6" x14ac:dyDescent="0.2">
      <c r="B35" s="3"/>
      <c r="E35" s="42"/>
      <c r="F35" s="3"/>
    </row>
    <row r="36" spans="2:6" x14ac:dyDescent="0.2">
      <c r="B36" s="3"/>
      <c r="E36" s="42"/>
      <c r="F36" s="3"/>
    </row>
    <row r="37" spans="2:6" x14ac:dyDescent="0.2">
      <c r="B37" s="3"/>
      <c r="E37" s="42"/>
      <c r="F37" s="3"/>
    </row>
    <row r="38" spans="2:6" x14ac:dyDescent="0.2">
      <c r="B38" s="3"/>
      <c r="E38" s="42"/>
      <c r="F38" s="3"/>
    </row>
    <row r="39" spans="2:6" x14ac:dyDescent="0.2">
      <c r="B39" s="3"/>
      <c r="E39" s="42"/>
      <c r="F39" s="3"/>
    </row>
    <row r="40" spans="2:6" x14ac:dyDescent="0.2">
      <c r="B40" s="3"/>
      <c r="E40" s="42"/>
      <c r="F40" s="3"/>
    </row>
    <row r="41" spans="2:6" x14ac:dyDescent="0.2">
      <c r="B41" s="3"/>
      <c r="E41" s="42"/>
      <c r="F41" s="3"/>
    </row>
    <row r="42" spans="2:6" x14ac:dyDescent="0.2">
      <c r="B42" s="3"/>
      <c r="E42" s="42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</sheetData>
  <phoneticPr fontId="8" type="noConversion"/>
  <hyperlinks>
    <hyperlink ref="P11" r:id="rId1" display="http://var.astro.cz/oejv/issues/oejv0074.pdf" xr:uid="{00000000-0004-0000-0100-000000000000}"/>
    <hyperlink ref="P25" r:id="rId2" display="http://var.astro.cz/oejv/issues/oejv0107.pdf" xr:uid="{00000000-0004-0000-0100-000001000000}"/>
    <hyperlink ref="P26" r:id="rId3" display="http://var.astro.cz/oejv/issues/oejv0137.pdf" xr:uid="{00000000-0004-0000-0100-000002000000}"/>
    <hyperlink ref="P12" r:id="rId4" display="http://www.konkoly.hu/cgi-bin/IBVS?5966" xr:uid="{00000000-0004-0000-0100-000003000000}"/>
    <hyperlink ref="P13" r:id="rId5" display="http://var.astro.cz/oejv/issues/oejv0160.pdf" xr:uid="{00000000-0004-0000-0100-000004000000}"/>
    <hyperlink ref="P14" r:id="rId6" display="http://www.konkoly.hu/cgi-bin/IBVS?5992" xr:uid="{00000000-0004-0000-0100-000005000000}"/>
    <hyperlink ref="P15" r:id="rId7" display="http://www.konkoly.hu/cgi-bin/IBVS?6050" xr:uid="{00000000-0004-0000-0100-000006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2024-08-05T00:55:10Z</dcterms:modified>
</cp:coreProperties>
</file>