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E71BE4-B8CB-47C2-9582-F036DC520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54" i="1"/>
  <c r="D9" i="1"/>
  <c r="C9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5" i="2"/>
  <c r="C15" i="2"/>
  <c r="G14" i="2"/>
  <c r="C14" i="2"/>
  <c r="G44" i="2"/>
  <c r="C44" i="2"/>
  <c r="G13" i="2"/>
  <c r="C13" i="2"/>
  <c r="G12" i="2"/>
  <c r="C12" i="2"/>
  <c r="G11" i="2"/>
  <c r="C11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H15" i="2"/>
  <c r="D15" i="2"/>
  <c r="B15" i="2"/>
  <c r="A15" i="2"/>
  <c r="H14" i="2"/>
  <c r="D14" i="2"/>
  <c r="B14" i="2"/>
  <c r="A14" i="2"/>
  <c r="H44" i="2"/>
  <c r="D44" i="2"/>
  <c r="B44" i="2"/>
  <c r="A44" i="2"/>
  <c r="H13" i="2"/>
  <c r="D13" i="2"/>
  <c r="B13" i="2"/>
  <c r="A13" i="2"/>
  <c r="H12" i="2"/>
  <c r="D12" i="2"/>
  <c r="B12" i="2"/>
  <c r="A12" i="2"/>
  <c r="H11" i="2"/>
  <c r="D11" i="2"/>
  <c r="B11" i="2"/>
  <c r="A11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Q56" i="1"/>
  <c r="Q55" i="1"/>
  <c r="C17" i="1"/>
  <c r="Q50" i="1"/>
  <c r="Q51" i="1"/>
  <c r="Q52" i="1"/>
  <c r="Q53" i="1"/>
  <c r="C8" i="1"/>
  <c r="C7" i="1"/>
  <c r="E27" i="1"/>
  <c r="F27" i="1"/>
  <c r="Q22" i="1"/>
  <c r="E23" i="2"/>
  <c r="E35" i="2"/>
  <c r="E42" i="2"/>
  <c r="E26" i="2"/>
  <c r="E37" i="2"/>
  <c r="E31" i="2"/>
  <c r="E33" i="2"/>
  <c r="E38" i="2"/>
  <c r="E11" i="2"/>
  <c r="E41" i="2"/>
  <c r="E36" i="2"/>
  <c r="E16" i="2"/>
  <c r="E34" i="2"/>
  <c r="E39" i="2"/>
  <c r="E12" i="2"/>
  <c r="E13" i="2"/>
  <c r="E14" i="2"/>
  <c r="E40" i="1"/>
  <c r="F40" i="1"/>
  <c r="G40" i="1"/>
  <c r="I40" i="1"/>
  <c r="E50" i="1"/>
  <c r="F50" i="1"/>
  <c r="G47" i="1"/>
  <c r="I47" i="1"/>
  <c r="E45" i="1"/>
  <c r="F45" i="1"/>
  <c r="G45" i="1"/>
  <c r="I45" i="1"/>
  <c r="G39" i="1"/>
  <c r="I39" i="1"/>
  <c r="E37" i="1"/>
  <c r="F37" i="1"/>
  <c r="E29" i="1"/>
  <c r="F29" i="1"/>
  <c r="E32" i="1"/>
  <c r="F32" i="1"/>
  <c r="E54" i="1"/>
  <c r="F54" i="1"/>
  <c r="G54" i="1"/>
  <c r="I54" i="1"/>
  <c r="G44" i="1"/>
  <c r="I44" i="1"/>
  <c r="E42" i="1"/>
  <c r="F42" i="1"/>
  <c r="G36" i="1"/>
  <c r="I36" i="1"/>
  <c r="E34" i="1"/>
  <c r="F34" i="1"/>
  <c r="G34" i="1"/>
  <c r="I34" i="1"/>
  <c r="E26" i="1"/>
  <c r="F26" i="1"/>
  <c r="G26" i="1"/>
  <c r="I26" i="1"/>
  <c r="G42" i="1"/>
  <c r="I42" i="1"/>
  <c r="G56" i="1"/>
  <c r="J56" i="1"/>
  <c r="E22" i="1"/>
  <c r="F22" i="1"/>
  <c r="G22" i="1"/>
  <c r="H22" i="1"/>
  <c r="G49" i="1"/>
  <c r="I49" i="1"/>
  <c r="E47" i="1"/>
  <c r="F47" i="1"/>
  <c r="E39" i="1"/>
  <c r="F39" i="1"/>
  <c r="G33" i="1"/>
  <c r="I33" i="1"/>
  <c r="E31" i="1"/>
  <c r="F31" i="1"/>
  <c r="G31" i="1"/>
  <c r="I31" i="1"/>
  <c r="E23" i="1"/>
  <c r="F23" i="1"/>
  <c r="G23" i="1"/>
  <c r="I23" i="1"/>
  <c r="E55" i="1"/>
  <c r="F55" i="1"/>
  <c r="E48" i="1"/>
  <c r="F48" i="1"/>
  <c r="E24" i="1"/>
  <c r="F24" i="1"/>
  <c r="G51" i="1"/>
  <c r="I51" i="1"/>
  <c r="E53" i="1"/>
  <c r="F53" i="1"/>
  <c r="G53" i="1"/>
  <c r="I53" i="1"/>
  <c r="G46" i="1"/>
  <c r="I46" i="1"/>
  <c r="E44" i="1"/>
  <c r="F44" i="1"/>
  <c r="G38" i="1"/>
  <c r="I38" i="1"/>
  <c r="E36" i="1"/>
  <c r="F36" i="1"/>
  <c r="E28" i="1"/>
  <c r="F28" i="1"/>
  <c r="G28" i="1"/>
  <c r="I28" i="1"/>
  <c r="G21" i="1"/>
  <c r="I21" i="1"/>
  <c r="E56" i="1"/>
  <c r="F56" i="1"/>
  <c r="G52" i="1"/>
  <c r="I52" i="1"/>
  <c r="E49" i="1"/>
  <c r="F49" i="1"/>
  <c r="E41" i="1"/>
  <c r="F41" i="1"/>
  <c r="G41" i="1"/>
  <c r="I41" i="1"/>
  <c r="E33" i="1"/>
  <c r="F33" i="1"/>
  <c r="G27" i="1"/>
  <c r="I27" i="1"/>
  <c r="E25" i="1"/>
  <c r="F25" i="1"/>
  <c r="G25" i="1"/>
  <c r="I25" i="1"/>
  <c r="G55" i="1"/>
  <c r="J55" i="1"/>
  <c r="E51" i="1"/>
  <c r="F51" i="1"/>
  <c r="G48" i="1"/>
  <c r="I48" i="1"/>
  <c r="E46" i="1"/>
  <c r="F46" i="1"/>
  <c r="E38" i="1"/>
  <c r="F38" i="1"/>
  <c r="G32" i="1"/>
  <c r="I32" i="1"/>
  <c r="E30" i="1"/>
  <c r="F30" i="1"/>
  <c r="G30" i="1"/>
  <c r="I30" i="1"/>
  <c r="G24" i="1"/>
  <c r="I24" i="1"/>
  <c r="E21" i="1"/>
  <c r="F21" i="1"/>
  <c r="G50" i="1"/>
  <c r="E52" i="1"/>
  <c r="F52" i="1"/>
  <c r="E43" i="1"/>
  <c r="F43" i="1"/>
  <c r="G43" i="1"/>
  <c r="I43" i="1"/>
  <c r="G37" i="1"/>
  <c r="I37" i="1"/>
  <c r="E35" i="1"/>
  <c r="F35" i="1"/>
  <c r="G35" i="1"/>
  <c r="I35" i="1"/>
  <c r="G29" i="1"/>
  <c r="I29" i="1"/>
  <c r="E24" i="2"/>
  <c r="E27" i="2"/>
  <c r="E20" i="2"/>
  <c r="E40" i="2"/>
  <c r="E19" i="2"/>
  <c r="E15" i="2"/>
  <c r="I50" i="1"/>
  <c r="E28" i="2"/>
  <c r="E44" i="2"/>
  <c r="E43" i="2"/>
  <c r="E22" i="2"/>
  <c r="E17" i="2"/>
  <c r="E18" i="2"/>
  <c r="E25" i="2"/>
  <c r="E30" i="2"/>
  <c r="E29" i="2"/>
  <c r="E32" i="2"/>
  <c r="C12" i="1"/>
  <c r="C11" i="1"/>
  <c r="F15" i="1" l="1"/>
  <c r="O42" i="1"/>
  <c r="O36" i="1"/>
  <c r="O49" i="1"/>
  <c r="O30" i="1"/>
  <c r="O38" i="1"/>
  <c r="O34" i="1"/>
  <c r="O28" i="1"/>
  <c r="O41" i="1"/>
  <c r="O21" i="1"/>
  <c r="O44" i="1"/>
  <c r="O45" i="1"/>
  <c r="O26" i="1"/>
  <c r="O50" i="1"/>
  <c r="O33" i="1"/>
  <c r="O56" i="1"/>
  <c r="O39" i="1"/>
  <c r="O35" i="1"/>
  <c r="O55" i="1"/>
  <c r="C15" i="1"/>
  <c r="O24" i="1"/>
  <c r="O37" i="1"/>
  <c r="O47" i="1"/>
  <c r="O51" i="1"/>
  <c r="O25" i="1"/>
  <c r="O43" i="1"/>
  <c r="O29" i="1"/>
  <c r="O48" i="1"/>
  <c r="O53" i="1"/>
  <c r="O27" i="1"/>
  <c r="O23" i="1"/>
  <c r="O54" i="1"/>
  <c r="O22" i="1"/>
  <c r="O31" i="1"/>
  <c r="O40" i="1"/>
  <c r="O32" i="1"/>
  <c r="O52" i="1"/>
  <c r="O46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<sst xmlns="http://schemas.openxmlformats.org/spreadsheetml/2006/main" count="406" uniqueCount="184">
  <si>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</si>
  <si>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</si>
  <si>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</si>
  <si>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</si>
  <si>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</si>
  <si>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</si>
  <si>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</si>
  <si>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</si>
  <si>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</si>
  <si>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</si>
  <si>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</si>
  <si>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</si>
  <si>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</si>
  <si>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</si>
  <si>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</si>
  <si>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</si>
  <si>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</si>
  <si>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</si>
  <si>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</si>
  <si>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</si>
  <si>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</si>
  <si>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</si>
  <si>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</si>
  <si>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</si>
  <si>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</si>
  <si>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</si>
  <si>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</si>
  <si>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</si>
  <si>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</si>
  <si>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</si>
  <si>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Bull.91</t>
  </si>
  <si>
    <t>B</t>
  </si>
  <si>
    <t>BBSAG Bull.97</t>
  </si>
  <si>
    <t>BBSAG Bull.112</t>
  </si>
  <si>
    <t># of data points:</t>
  </si>
  <si>
    <t>EA/SD</t>
  </si>
  <si>
    <t>IBVS 5713</t>
  </si>
  <si>
    <t>I</t>
  </si>
  <si>
    <t>IBVS 6149</t>
  </si>
  <si>
    <t>CK Dra / GSC 3872.0919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</si>
  <si>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</si>
  <si>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</si>
  <si>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</si>
  <si>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</si>
  <si>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</si>
  <si>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</si>
  <si>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</si>
  <si>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</si>
  <si>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</si>
  <si>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</si>
  <si>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</si>
  <si>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</si>
  <si>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</si>
  <si>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</si>
  <si>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</si>
  <si>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</si>
  <si>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</si>
  <si>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</si>
  <si>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2436233.664 </t>
  </si>
  <si>
    <t> 30.01.1958 03:56 </t>
  </si>
  <si>
    <t> -0.103 </t>
  </si>
  <si>
    <t>P </t>
  </si>
  <si>
    <t> A.Wittmann </t>
  </si>
  <si>
    <t> MVS 577 </t>
  </si>
  <si>
    <t>2436263.671 </t>
  </si>
  <si>
    <t> 01.03.1958 04:06 </t>
  </si>
  <si>
    <t> -0.063 </t>
  </si>
  <si>
    <t>2436288.608 </t>
  </si>
  <si>
    <t> 26.03.1958 02:35 </t>
  </si>
  <si>
    <t> -0.099 </t>
  </si>
  <si>
    <t>2436318.574 </t>
  </si>
  <si>
    <t> 25.04.1958 01:46 </t>
  </si>
  <si>
    <t> -0.100 </t>
  </si>
  <si>
    <t>2436343.473 </t>
  </si>
  <si>
    <t> 19.05.1958 23:21 </t>
  </si>
  <si>
    <t> -0.173 </t>
  </si>
  <si>
    <t>2436403.429 </t>
  </si>
  <si>
    <t> 18.07.1958 22:17 </t>
  </si>
  <si>
    <t> -0.151 </t>
  </si>
  <si>
    <t>2436433.370 </t>
  </si>
  <si>
    <t> 17.08.1958 20:52 </t>
  </si>
  <si>
    <t> -0.177 </t>
  </si>
  <si>
    <t>2436675.556 </t>
  </si>
  <si>
    <t> 17.04.1959 01:20 </t>
  </si>
  <si>
    <t> -0.225 </t>
  </si>
  <si>
    <t>2436698.510 </t>
  </si>
  <si>
    <t> 10.05.1959 00:14 </t>
  </si>
  <si>
    <t> 0.253 </t>
  </si>
  <si>
    <t>2436723.440 </t>
  </si>
  <si>
    <t> 03.06.1959 22:33 </t>
  </si>
  <si>
    <t> 0.211 </t>
  </si>
  <si>
    <t>2436808.342 </t>
  </si>
  <si>
    <t> 27.08.1959 20:12 </t>
  </si>
  <si>
    <t> 0.206 </t>
  </si>
  <si>
    <t>2436848.280 </t>
  </si>
  <si>
    <t> 06.10.1959 18:43 </t>
  </si>
  <si>
    <t> 0.188 </t>
  </si>
  <si>
    <t>2437017.575 </t>
  </si>
  <si>
    <t> 24.03.1960 01:48 </t>
  </si>
  <si>
    <t> -0.330 </t>
  </si>
  <si>
    <t>2437317.672 </t>
  </si>
  <si>
    <t> 18.01.1961 04:07 </t>
  </si>
  <si>
    <t> 0.096 </t>
  </si>
  <si>
    <t>2437542.335 </t>
  </si>
  <si>
    <t> 30.08.1961 20:02 </t>
  </si>
  <si>
    <t> 0.006 </t>
  </si>
  <si>
    <t> MVS 4.175 </t>
  </si>
  <si>
    <t>2437577.292 </t>
  </si>
  <si>
    <t> 04.10.1961 19:00 </t>
  </si>
  <si>
    <t> 0.002 </t>
  </si>
  <si>
    <t>2437602.243 </t>
  </si>
  <si>
    <t> 29.10.1961 17:49 </t>
  </si>
  <si>
    <t> -0.020 </t>
  </si>
  <si>
    <t>2438091.628 </t>
  </si>
  <si>
    <t> 03.03.1963 03:04 </t>
  </si>
  <si>
    <t> -0.097 </t>
  </si>
  <si>
    <t>2438146.564 </t>
  </si>
  <si>
    <t> 27.04.1963 01:32 </t>
  </si>
  <si>
    <t> -0.101 </t>
  </si>
  <si>
    <t>2438171.488 </t>
  </si>
  <si>
    <t> 21.05.1963 23:42 </t>
  </si>
  <si>
    <t> -0.149 </t>
  </si>
  <si>
    <t>2439180.576 </t>
  </si>
  <si>
    <t> 24.02.1966 01:49 </t>
  </si>
  <si>
    <t> 0.048 </t>
  </si>
  <si>
    <t>2439205.602 </t>
  </si>
  <si>
    <t> 21.03.1966 02:26 </t>
  </si>
  <si>
    <t> 0.101 </t>
  </si>
  <si>
    <t>2439270.468 </t>
  </si>
  <si>
    <t> 24.05.1966 23:13 </t>
  </si>
  <si>
    <t> 0.038 </t>
  </si>
  <si>
    <t>2439330.444 </t>
  </si>
  <si>
    <t> 23.07.1966 22:39 </t>
  </si>
  <si>
    <t> 0.080 </t>
  </si>
  <si>
    <t>2439355.398 </t>
  </si>
  <si>
    <t> 17.08.1966 21:33 </t>
  </si>
  <si>
    <t> 0.062 </t>
  </si>
  <si>
    <t>2439380.371 </t>
  </si>
  <si>
    <t> 11.09.1966 20:54 </t>
  </si>
  <si>
    <t>2439385.351 </t>
  </si>
  <si>
    <t> 16.09.1966 20:25 </t>
  </si>
  <si>
    <t>2439390.390 </t>
  </si>
  <si>
    <t> 21.09.1966 21:21 </t>
  </si>
  <si>
    <t> 0.092 </t>
  </si>
  <si>
    <t>2447596.296 </t>
  </si>
  <si>
    <t> 10.03.1989 19:06 </t>
  </si>
  <si>
    <t> 0.016 </t>
  </si>
  <si>
    <t>V </t>
  </si>
  <si>
    <t> K.Locher </t>
  </si>
  <si>
    <t> BBS 91 </t>
  </si>
  <si>
    <t>2448260.541 </t>
  </si>
  <si>
    <t> 04.01.1991 00:59 </t>
  </si>
  <si>
    <t> -0.008 </t>
  </si>
  <si>
    <t> BBS 97 </t>
  </si>
  <si>
    <t>2450188.41 </t>
  </si>
  <si>
    <t> 14.04.1996 21:50 </t>
  </si>
  <si>
    <t> -0.02 </t>
  </si>
  <si>
    <t> BBS 112 </t>
  </si>
  <si>
    <t>2452041.432 </t>
  </si>
  <si>
    <t> 11.05.2001 22:22 </t>
  </si>
  <si>
    <t> J.Vandenbroere </t>
  </si>
  <si>
    <t> BBS 127 </t>
  </si>
  <si>
    <t>2453849.5433 </t>
  </si>
  <si>
    <t> 24.04.2006 01:02 </t>
  </si>
  <si>
    <t> 0.1360 </t>
  </si>
  <si>
    <t>E </t>
  </si>
  <si>
    <t>?</t>
  </si>
  <si>
    <t> R. Diethelm </t>
  </si>
  <si>
    <t>IBVS 5713 </t>
  </si>
  <si>
    <t>2456771.3347 </t>
  </si>
  <si>
    <t> 23.04.2014 20:01 </t>
  </si>
  <si>
    <t> 0.1385 </t>
  </si>
  <si>
    <t>C </t>
  </si>
  <si>
    <t>-I</t>
  </si>
  <si>
    <t> F.Agerer </t>
  </si>
  <si>
    <t>BAVM 238 </t>
  </si>
  <si>
    <t>II</t>
  </si>
  <si>
    <t>BAD?</t>
  </si>
  <si>
    <t xml:space="preserve">Mag </t>
  </si>
  <si>
    <t>Next ToM-P</t>
  </si>
  <si>
    <t>Next ToM-S</t>
  </si>
  <si>
    <t>11.30-12.90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</si>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</sst>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15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2" fillId="3" borderId="14" xfId="0" applyFont="1" applyFill="1" applyBorder="1" applyAlignment="1">
      <alignment horizontal="center" vertical="center"/>
    </xf>
    <xf numFmtId="22" fontId="24" fillId="0" borderId="16" xfId="0" applyNumberFormat="1" applyFont="1" applyBorder="1" applyAlignment="1">
      <alignment horizontal="right" vertical="center"/>
    </xf>
    <xf numFmtId="22" fontId="24" fillId="0" borderId="17" xfId="0" applyNumberFormat="1" applyFont="1" applyBorder="1" applyAlignment="1">
      <alignment horizontal="right" vertical="center"/>
    </xf>
    <xf numFmtId="0" fontId="22" fillId="0" borderId="0" xfId="0" applyFont="1" applyAlignment="1"/>
    <xf numFmtId="0" fontId="5" fillId="0" borderId="12" xfId="0" applyFont="1" applyBorder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Dra - O-C Diagr.</a:t>
            </a:r>
          </a:p>
        </c:rich>
      </c:tx>
      <c:layout>
        <c:manualLayout>
          <c:xMode val="edge"/>
          <c:yMode val="edge"/>
          <c:x val="0.3920454545454545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1818181818182"/>
          <c:y val="0.15"/>
          <c:w val="0.8409090909090909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2-49D7-9AA4-06DAD89859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-0.10300000000279397</c:v>
                </c:pt>
                <c:pt idx="2">
                  <c:v>-6.3065999995160382E-2</c:v>
                </c:pt>
                <c:pt idx="3">
                  <c:v>-9.8620999997365288E-2</c:v>
                </c:pt>
                <c:pt idx="4">
                  <c:v>-9.9687000001722481E-2</c:v>
                </c:pt>
                <c:pt idx="5">
                  <c:v>-0.17324200000439305</c:v>
                </c:pt>
                <c:pt idx="6">
                  <c:v>-0.15137400000094203</c:v>
                </c:pt>
                <c:pt idx="7">
                  <c:v>-0.17743999999947846</c:v>
                </c:pt>
                <c:pt idx="8">
                  <c:v>-0.22522350000508595</c:v>
                </c:pt>
                <c:pt idx="9">
                  <c:v>0.25347700000565965</c:v>
                </c:pt>
                <c:pt idx="10">
                  <c:v>0.21092200000566663</c:v>
                </c:pt>
                <c:pt idx="11">
                  <c:v>0.20623499999783235</c:v>
                </c:pt>
                <c:pt idx="12">
                  <c:v>0.18814700000075391</c:v>
                </c:pt>
                <c:pt idx="13">
                  <c:v>-0.33022700000583427</c:v>
                </c:pt>
                <c:pt idx="14">
                  <c:v>9.6112999999604654E-2</c:v>
                </c:pt>
                <c:pt idx="15">
                  <c:v>6.1179999975138344E-3</c:v>
                </c:pt>
                <c:pt idx="16">
                  <c:v>1.5410000050906092E-3</c:v>
                </c:pt>
                <c:pt idx="17">
                  <c:v>-2.0013999994262122E-2</c:v>
                </c:pt>
                <c:pt idx="18">
                  <c:v>-9.7092000003613066E-2</c:v>
                </c:pt>
                <c:pt idx="19">
                  <c:v>-0.1007129999998142</c:v>
                </c:pt>
                <c:pt idx="20">
                  <c:v>-0.14926800000102958</c:v>
                </c:pt>
                <c:pt idx="21">
                  <c:v>4.7510000003967434E-2</c:v>
                </c:pt>
                <c:pt idx="22">
                  <c:v>0.10095500000170432</c:v>
                </c:pt>
                <c:pt idx="23">
                  <c:v>3.8312000004225411E-2</c:v>
                </c:pt>
                <c:pt idx="24">
                  <c:v>8.0180000004475005E-2</c:v>
                </c:pt>
                <c:pt idx="25">
                  <c:v>6.1625000002095476E-2</c:v>
                </c:pt>
                <c:pt idx="26">
                  <c:v>6.2069999999948777E-2</c:v>
                </c:pt>
                <c:pt idx="27">
                  <c:v>4.7559000006003771E-2</c:v>
                </c:pt>
                <c:pt idx="28">
                  <c:v>9.2047999998612795E-2</c:v>
                </c:pt>
                <c:pt idx="29">
                  <c:v>1.6475000003993046E-2</c:v>
                </c:pt>
                <c:pt idx="30">
                  <c:v>-8.4880000067641959E-3</c:v>
                </c:pt>
                <c:pt idx="31">
                  <c:v>-2.0733999997901265E-2</c:v>
                </c:pt>
                <c:pt idx="32">
                  <c:v>-2.0733999997901265E-2</c:v>
                </c:pt>
                <c:pt idx="33">
                  <c:v>3.7685000002966262E-2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2-49D7-9AA4-06DAD89859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4">
                  <c:v>0.13600299999961862</c:v>
                </c:pt>
                <c:pt idx="35">
                  <c:v>0.13846799999737414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22-49D7-9AA4-06DAD89859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22-49D7-9AA4-06DAD89859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22-49D7-9AA4-06DAD89859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22-49D7-9AA4-06DAD89859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0.01</c:v>
                  </c:pt>
                  <c:pt idx="31">
                    <c:v>0.02</c:v>
                  </c:pt>
                  <c:pt idx="32">
                    <c:v>0.02</c:v>
                  </c:pt>
                  <c:pt idx="33">
                    <c:v>0</c:v>
                  </c:pt>
                  <c:pt idx="34">
                    <c:v>2.2000000000000001E-3</c:v>
                  </c:pt>
                  <c:pt idx="3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22-49D7-9AA4-06DAD89859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-0.2375996486124457</c:v>
                </c:pt>
                <c:pt idx="1">
                  <c:v>-0.2375996486124457</c:v>
                </c:pt>
                <c:pt idx="2">
                  <c:v>-0.23704680233763048</c:v>
                </c:pt>
                <c:pt idx="3">
                  <c:v>-0.23658609710861778</c:v>
                </c:pt>
                <c:pt idx="4">
                  <c:v>-0.23603325083380255</c:v>
                </c:pt>
                <c:pt idx="5">
                  <c:v>-0.23557254560478985</c:v>
                </c:pt>
                <c:pt idx="6">
                  <c:v>-0.23446685305515938</c:v>
                </c:pt>
                <c:pt idx="7">
                  <c:v>-0.23391400678034416</c:v>
                </c:pt>
                <c:pt idx="8">
                  <c:v>-0.22944516605892101</c:v>
                </c:pt>
                <c:pt idx="9">
                  <c:v>-0.2290305313528096</c:v>
                </c:pt>
                <c:pt idx="10">
                  <c:v>-0.22856982612379689</c:v>
                </c:pt>
                <c:pt idx="11">
                  <c:v>-0.22700342834515375</c:v>
                </c:pt>
                <c:pt idx="12">
                  <c:v>-0.22626629997873343</c:v>
                </c:pt>
                <c:pt idx="13">
                  <c:v>-0.22313350442144711</c:v>
                </c:pt>
                <c:pt idx="14">
                  <c:v>-0.21760504167329478</c:v>
                </c:pt>
                <c:pt idx="15">
                  <c:v>-0.21345869461218053</c:v>
                </c:pt>
                <c:pt idx="16">
                  <c:v>-0.21281370729156276</c:v>
                </c:pt>
                <c:pt idx="17">
                  <c:v>-0.21235300206255006</c:v>
                </c:pt>
                <c:pt idx="18">
                  <c:v>-0.20332317957390128</c:v>
                </c:pt>
                <c:pt idx="19">
                  <c:v>-0.20230962807007336</c:v>
                </c:pt>
                <c:pt idx="20">
                  <c:v>-0.20184892284106065</c:v>
                </c:pt>
                <c:pt idx="21">
                  <c:v>-0.18323643158894781</c:v>
                </c:pt>
                <c:pt idx="22">
                  <c:v>-0.18277572635993511</c:v>
                </c:pt>
                <c:pt idx="23">
                  <c:v>-0.18157789276450212</c:v>
                </c:pt>
                <c:pt idx="24">
                  <c:v>-0.18047220021487165</c:v>
                </c:pt>
                <c:pt idx="25">
                  <c:v>-0.18001149498585894</c:v>
                </c:pt>
                <c:pt idx="26">
                  <c:v>-0.17955078975684624</c:v>
                </c:pt>
                <c:pt idx="27">
                  <c:v>-0.17945864871104372</c:v>
                </c:pt>
                <c:pt idx="28">
                  <c:v>-0.17936650766524118</c:v>
                </c:pt>
                <c:pt idx="29">
                  <c:v>-2.7978769411669935E-2</c:v>
                </c:pt>
                <c:pt idx="30">
                  <c:v>-1.5724010319932258E-2</c:v>
                </c:pt>
                <c:pt idx="31">
                  <c:v>1.98424333598477E-2</c:v>
                </c:pt>
                <c:pt idx="32">
                  <c:v>1.98424333598477E-2</c:v>
                </c:pt>
                <c:pt idx="33">
                  <c:v>5.4026761352589603E-2</c:v>
                </c:pt>
                <c:pt idx="34">
                  <c:v>8.7381819933108673E-2</c:v>
                </c:pt>
                <c:pt idx="35">
                  <c:v>0.14128433172759386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22-49D7-9AA4-06DAD89859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88.5</c:v>
                </c:pt>
                <c:pt idx="9">
                  <c:v>93</c:v>
                </c:pt>
                <c:pt idx="10">
                  <c:v>98</c:v>
                </c:pt>
                <c:pt idx="11">
                  <c:v>115</c:v>
                </c:pt>
                <c:pt idx="12">
                  <c:v>123</c:v>
                </c:pt>
                <c:pt idx="13">
                  <c:v>157</c:v>
                </c:pt>
                <c:pt idx="14">
                  <c:v>217</c:v>
                </c:pt>
                <c:pt idx="15">
                  <c:v>262</c:v>
                </c:pt>
                <c:pt idx="16">
                  <c:v>269</c:v>
                </c:pt>
                <c:pt idx="17">
                  <c:v>274</c:v>
                </c:pt>
                <c:pt idx="18">
                  <c:v>372</c:v>
                </c:pt>
                <c:pt idx="19">
                  <c:v>383</c:v>
                </c:pt>
                <c:pt idx="20">
                  <c:v>388</c:v>
                </c:pt>
                <c:pt idx="21">
                  <c:v>590</c:v>
                </c:pt>
                <c:pt idx="22">
                  <c:v>595</c:v>
                </c:pt>
                <c:pt idx="23">
                  <c:v>608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631</c:v>
                </c:pt>
                <c:pt idx="28">
                  <c:v>632</c:v>
                </c:pt>
                <c:pt idx="29">
                  <c:v>2275</c:v>
                </c:pt>
                <c:pt idx="30">
                  <c:v>2408</c:v>
                </c:pt>
                <c:pt idx="31">
                  <c:v>2794</c:v>
                </c:pt>
                <c:pt idx="32">
                  <c:v>2794</c:v>
                </c:pt>
                <c:pt idx="33">
                  <c:v>3165</c:v>
                </c:pt>
                <c:pt idx="34">
                  <c:v>3527</c:v>
                </c:pt>
                <c:pt idx="35">
                  <c:v>4112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22-49D7-9AA4-06DAD898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8224"/>
        <c:axId val="1"/>
      </c:scatterChart>
      <c:valAx>
        <c:axId val="79345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2727272727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58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96590909090909"/>
          <c:y val="0.91874999999999996"/>
          <c:w val="0.6832386363636363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542925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1C4488-FCF2-2AAE-0F89-FA6409CF0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78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11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25</v>
      </c>
      <c r="B2" s="60" t="s">
        <v>35</v>
      </c>
    </row>
    <row r="4" spans="1:6">
      <c r="A4" s="8" t="s">
        <v>0</v>
      </c>
      <c r="C4" s="3">
        <v>36233.767</v>
      </c>
      <c r="D4" s="4">
        <v>4.9945110000000001</v>
      </c>
    </row>
    <row r="5" spans="1:6">
      <c r="A5" s="22" t="s">
        <v>40</v>
      </c>
      <c r="B5" s="47"/>
      <c r="C5" s="24">
        <v>-9.5</v>
      </c>
      <c r="D5" s="23" t="s">
        <v>41</v>
      </c>
    </row>
    <row r="6" spans="1:6">
      <c r="A6" s="8" t="s">
        <v>1</v>
      </c>
    </row>
    <row r="7" spans="1:6">
      <c r="A7" t="s">
        <v>2</v>
      </c>
      <c r="C7">
        <f>+C4</f>
        <v>36233.767</v>
      </c>
      <c r="D7" s="59" t="s">
        <v>182</v>
      </c>
    </row>
    <row r="8" spans="1:6">
      <c r="A8" t="s">
        <v>3</v>
      </c>
      <c r="C8">
        <f>+D4</f>
        <v>4.9945110000000001</v>
      </c>
      <c r="D8" s="59" t="s">
        <v>182</v>
      </c>
    </row>
    <row r="9" spans="1:6">
      <c r="A9" s="25" t="s">
        <v>42</v>
      </c>
      <c r="B9" s="26">
        <v>50</v>
      </c>
      <c r="C9" s="27" t="str">
        <f>"F"&amp;B9</f>
        <v>F50</v>
      </c>
      <c r="D9" s="28" t="str">
        <f>"G"&amp;B9</f>
        <v>G50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29">
        <f ca="1">INTERCEPT(INDIRECT($D$9):G992,INDIRECT($C$9):F992)</f>
        <v>-0.2375996486124457</v>
      </c>
      <c r="D11" s="6"/>
    </row>
    <row r="12" spans="1:6">
      <c r="A12" t="s">
        <v>17</v>
      </c>
      <c r="C12" s="29">
        <f ca="1">SLOPE(INDIRECT($D$9):G992,INDIRECT($C$9):F992)</f>
        <v>9.2141045802538802E-5</v>
      </c>
      <c r="D12" s="6"/>
      <c r="E12" s="52" t="s">
        <v>178</v>
      </c>
      <c r="F12" s="56" t="s">
        <v>181</v>
      </c>
    </row>
    <row r="13" spans="1:6">
      <c r="A13" t="s">
        <v>19</v>
      </c>
      <c r="C13" s="6" t="s">
        <v>14</v>
      </c>
      <c r="D13" s="6"/>
      <c r="E13" s="50" t="s">
        <v>43</v>
      </c>
      <c r="F13" s="55">
        <v>1</v>
      </c>
    </row>
    <row r="14" spans="1:6">
      <c r="A14" t="s">
        <v>24</v>
      </c>
      <c r="E14" s="50" t="s">
        <v>44</v>
      </c>
      <c r="F14" s="53">
        <f ca="1">NOW()+15018.5+$C$5/24</f>
        <v>60527.564930555556</v>
      </c>
    </row>
    <row r="15" spans="1:6">
      <c r="A15" s="5" t="s">
        <v>18</v>
      </c>
      <c r="C15" s="11">
        <f ca="1">(C7+C11)+(C8+C12)*INT(MAX(F21:F3533))</f>
        <v>56771.337516331725</v>
      </c>
      <c r="E15" s="50" t="s">
        <v>45</v>
      </c>
      <c r="F15" s="54">
        <f ca="1">ROUND(2*($F$14-$C$7)/$C$8,0)/2+$F$13</f>
        <v>4865</v>
      </c>
    </row>
    <row r="16" spans="1:6">
      <c r="A16" s="8" t="s">
        <v>4</v>
      </c>
      <c r="C16" s="12">
        <f ca="1">+C8+C12</f>
        <v>4.9946031410458023</v>
      </c>
      <c r="E16" s="50" t="s">
        <v>46</v>
      </c>
      <c r="F16" s="53">
        <f ca="1">ROUND(2*($F$14-$C$15)/$C$16,0)/2+$F$13</f>
        <v>753</v>
      </c>
    </row>
    <row r="17" spans="1:21" ht="13.5" thickBot="1">
      <c r="A17" s="13" t="s">
        <v>34</v>
      </c>
      <c r="C17">
        <f>COUNT(C21:C2191)</f>
        <v>36</v>
      </c>
      <c r="E17" s="50" t="s">
        <v>179</v>
      </c>
      <c r="F17" s="57">
        <f ca="1">+$C$15+$C$16*$F$16-15018.5-$C$5/24</f>
        <v>45514.169514872548</v>
      </c>
    </row>
    <row r="18" spans="1:21">
      <c r="A18" s="8" t="s">
        <v>5</v>
      </c>
      <c r="C18" s="3">
        <f ca="1">+C15</f>
        <v>56771.337516331725</v>
      </c>
      <c r="D18" s="4">
        <f ca="1">+C16</f>
        <v>4.9946031410458023</v>
      </c>
      <c r="E18" s="51" t="s">
        <v>180</v>
      </c>
      <c r="F18" s="58">
        <f ca="1">+($C$15+$C$16*$F$16)-($C$16/2)-15018.5-$C$5/24</f>
        <v>45511.672213302023</v>
      </c>
    </row>
    <row r="19" spans="1:21" ht="13.5" thickTop="1">
      <c r="E19" s="30"/>
      <c r="F19" s="31"/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54</v>
      </c>
      <c r="I20" s="10" t="s">
        <v>57</v>
      </c>
      <c r="J20" s="10" t="s">
        <v>183</v>
      </c>
      <c r="K20" s="10" t="s">
        <v>49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49" t="s">
        <v>177</v>
      </c>
    </row>
    <row r="21" spans="1:21">
      <c r="A21" s="45" t="s">
        <v>63</v>
      </c>
      <c r="B21" s="48" t="s">
        <v>37</v>
      </c>
      <c r="C21" s="46">
        <v>36233.663999999997</v>
      </c>
      <c r="D21" s="46" t="s">
        <v>57</v>
      </c>
      <c r="E21">
        <f t="shared" ref="E21:E56" si="0">+(C21-C$7)/C$8</f>
        <v>-2.0622639534239481E-2</v>
      </c>
      <c r="F21">
        <f t="shared" ref="F21:F56" si="1">ROUND(2*E21,0)/2</f>
        <v>0</v>
      </c>
      <c r="G21">
        <f t="shared" ref="G21:G56" si="2">+C21-(C$7+F21*C$8)</f>
        <v>-0.10300000000279397</v>
      </c>
      <c r="I21">
        <f>+G21</f>
        <v>-0.10300000000279397</v>
      </c>
      <c r="O21">
        <f t="shared" ref="O21:O56" ca="1" si="3">+C$11+C$12*$F21</f>
        <v>-0.2375996486124457</v>
      </c>
      <c r="Q21" s="2">
        <f t="shared" ref="Q21:Q56" si="4">+C21-15018.5</f>
        <v>21215.163999999997</v>
      </c>
    </row>
    <row r="22" spans="1:21">
      <c r="A22" t="s">
        <v>12</v>
      </c>
      <c r="C22" s="17">
        <v>36233.767</v>
      </c>
      <c r="D22" s="17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-0.2375996486124457</v>
      </c>
      <c r="Q22" s="2">
        <f t="shared" si="4"/>
        <v>21215.267</v>
      </c>
    </row>
    <row r="23" spans="1:21">
      <c r="A23" s="45" t="s">
        <v>63</v>
      </c>
      <c r="B23" s="48" t="s">
        <v>37</v>
      </c>
      <c r="C23" s="46">
        <v>36263.671000000002</v>
      </c>
      <c r="D23" s="46" t="s">
        <v>57</v>
      </c>
      <c r="E23">
        <f t="shared" si="0"/>
        <v>5.987372938011803</v>
      </c>
      <c r="F23">
        <f t="shared" si="1"/>
        <v>6</v>
      </c>
      <c r="G23">
        <f t="shared" si="2"/>
        <v>-6.3065999995160382E-2</v>
      </c>
      <c r="I23">
        <f t="shared" ref="I23:I54" si="5">+G23</f>
        <v>-6.3065999995160382E-2</v>
      </c>
      <c r="O23">
        <f t="shared" ca="1" si="3"/>
        <v>-0.23704680233763048</v>
      </c>
      <c r="Q23" s="2">
        <f t="shared" si="4"/>
        <v>21245.171000000002</v>
      </c>
    </row>
    <row r="24" spans="1:21">
      <c r="A24" s="45" t="s">
        <v>63</v>
      </c>
      <c r="B24" s="48" t="s">
        <v>37</v>
      </c>
      <c r="C24" s="46">
        <v>36288.608</v>
      </c>
      <c r="D24" s="46" t="s">
        <v>57</v>
      </c>
      <c r="E24">
        <f t="shared" si="0"/>
        <v>10.980254122976273</v>
      </c>
      <c r="F24">
        <f t="shared" si="1"/>
        <v>11</v>
      </c>
      <c r="G24">
        <f t="shared" si="2"/>
        <v>-9.8620999997365288E-2</v>
      </c>
      <c r="I24">
        <f t="shared" si="5"/>
        <v>-9.8620999997365288E-2</v>
      </c>
      <c r="O24">
        <f t="shared" ca="1" si="3"/>
        <v>-0.23658609710861778</v>
      </c>
      <c r="Q24" s="2">
        <f t="shared" si="4"/>
        <v>21270.108</v>
      </c>
    </row>
    <row r="25" spans="1:21">
      <c r="A25" s="45" t="s">
        <v>63</v>
      </c>
      <c r="B25" s="48" t="s">
        <v>37</v>
      </c>
      <c r="C25" s="46">
        <v>36318.574000000001</v>
      </c>
      <c r="D25" s="46" t="s">
        <v>57</v>
      </c>
      <c r="E25">
        <f t="shared" si="0"/>
        <v>16.980040688668158</v>
      </c>
      <c r="F25">
        <f t="shared" si="1"/>
        <v>17</v>
      </c>
      <c r="G25">
        <f t="shared" si="2"/>
        <v>-9.9687000001722481E-2</v>
      </c>
      <c r="I25">
        <f t="shared" si="5"/>
        <v>-9.9687000001722481E-2</v>
      </c>
      <c r="O25">
        <f t="shared" ca="1" si="3"/>
        <v>-0.23603325083380255</v>
      </c>
      <c r="Q25" s="2">
        <f t="shared" si="4"/>
        <v>21300.074000000001</v>
      </c>
    </row>
    <row r="26" spans="1:21">
      <c r="A26" s="45" t="s">
        <v>63</v>
      </c>
      <c r="B26" s="48" t="s">
        <v>37</v>
      </c>
      <c r="C26" s="46">
        <v>36343.472999999998</v>
      </c>
      <c r="D26" s="46" t="s">
        <v>57</v>
      </c>
      <c r="E26">
        <f t="shared" si="0"/>
        <v>21.965313521183216</v>
      </c>
      <c r="F26">
        <f t="shared" si="1"/>
        <v>22</v>
      </c>
      <c r="G26">
        <f t="shared" si="2"/>
        <v>-0.17324200000439305</v>
      </c>
      <c r="I26">
        <f t="shared" si="5"/>
        <v>-0.17324200000439305</v>
      </c>
      <c r="O26">
        <f t="shared" ca="1" si="3"/>
        <v>-0.23557254560478985</v>
      </c>
      <c r="Q26" s="2">
        <f t="shared" si="4"/>
        <v>21324.972999999998</v>
      </c>
    </row>
    <row r="27" spans="1:21">
      <c r="A27" s="45" t="s">
        <v>63</v>
      </c>
      <c r="B27" s="48" t="s">
        <v>37</v>
      </c>
      <c r="C27" s="46">
        <v>36403.428999999996</v>
      </c>
      <c r="D27" s="46" t="s">
        <v>57</v>
      </c>
      <c r="E27">
        <f t="shared" si="0"/>
        <v>33.969691927797662</v>
      </c>
      <c r="F27">
        <f t="shared" si="1"/>
        <v>34</v>
      </c>
      <c r="G27">
        <f t="shared" si="2"/>
        <v>-0.15137400000094203</v>
      </c>
      <c r="I27">
        <f t="shared" si="5"/>
        <v>-0.15137400000094203</v>
      </c>
      <c r="O27">
        <f t="shared" ca="1" si="3"/>
        <v>-0.23446685305515938</v>
      </c>
      <c r="Q27" s="2">
        <f t="shared" si="4"/>
        <v>21384.928999999996</v>
      </c>
    </row>
    <row r="28" spans="1:21">
      <c r="A28" s="45" t="s">
        <v>63</v>
      </c>
      <c r="B28" s="48" t="s">
        <v>37</v>
      </c>
      <c r="C28" s="46">
        <v>36433.370000000003</v>
      </c>
      <c r="D28" s="46" t="s">
        <v>57</v>
      </c>
      <c r="E28">
        <f t="shared" si="0"/>
        <v>39.964472998458263</v>
      </c>
      <c r="F28">
        <f t="shared" si="1"/>
        <v>40</v>
      </c>
      <c r="G28">
        <f t="shared" si="2"/>
        <v>-0.17743999999947846</v>
      </c>
      <c r="I28">
        <f t="shared" si="5"/>
        <v>-0.17743999999947846</v>
      </c>
      <c r="O28">
        <f t="shared" ca="1" si="3"/>
        <v>-0.23391400678034416</v>
      </c>
      <c r="Q28" s="2">
        <f t="shared" si="4"/>
        <v>21414.870000000003</v>
      </c>
    </row>
    <row r="29" spans="1:21">
      <c r="A29" s="45" t="s">
        <v>63</v>
      </c>
      <c r="B29" s="48" t="s">
        <v>176</v>
      </c>
      <c r="C29" s="46">
        <v>36675.555999999997</v>
      </c>
      <c r="D29" s="46" t="s">
        <v>57</v>
      </c>
      <c r="E29">
        <f t="shared" si="0"/>
        <v>88.454905795581794</v>
      </c>
      <c r="F29">
        <f t="shared" si="1"/>
        <v>88.5</v>
      </c>
      <c r="G29">
        <f t="shared" si="2"/>
        <v>-0.22522350000508595</v>
      </c>
      <c r="I29">
        <f t="shared" si="5"/>
        <v>-0.22522350000508595</v>
      </c>
      <c r="O29">
        <f t="shared" ca="1" si="3"/>
        <v>-0.22944516605892101</v>
      </c>
      <c r="Q29" s="2">
        <f t="shared" si="4"/>
        <v>21657.055999999997</v>
      </c>
    </row>
    <row r="30" spans="1:21">
      <c r="A30" s="45" t="s">
        <v>63</v>
      </c>
      <c r="B30" s="48" t="s">
        <v>37</v>
      </c>
      <c r="C30" s="46">
        <v>36698.51</v>
      </c>
      <c r="D30" s="46" t="s">
        <v>57</v>
      </c>
      <c r="E30">
        <f t="shared" si="0"/>
        <v>93.050751114574012</v>
      </c>
      <c r="F30">
        <f t="shared" si="1"/>
        <v>93</v>
      </c>
      <c r="G30">
        <f t="shared" si="2"/>
        <v>0.25347700000565965</v>
      </c>
      <c r="I30">
        <f t="shared" si="5"/>
        <v>0.25347700000565965</v>
      </c>
      <c r="O30">
        <f t="shared" ca="1" si="3"/>
        <v>-0.2290305313528096</v>
      </c>
      <c r="Q30" s="2">
        <f t="shared" si="4"/>
        <v>21680.010000000002</v>
      </c>
    </row>
    <row r="31" spans="1:21">
      <c r="A31" s="45" t="s">
        <v>63</v>
      </c>
      <c r="B31" s="48" t="s">
        <v>37</v>
      </c>
      <c r="C31" s="46">
        <v>36723.440000000002</v>
      </c>
      <c r="D31" s="46" t="s">
        <v>57</v>
      </c>
      <c r="E31">
        <f t="shared" si="0"/>
        <v>98.04223076092984</v>
      </c>
      <c r="F31">
        <f t="shared" si="1"/>
        <v>98</v>
      </c>
      <c r="G31">
        <f t="shared" si="2"/>
        <v>0.21092200000566663</v>
      </c>
      <c r="I31">
        <f t="shared" si="5"/>
        <v>0.21092200000566663</v>
      </c>
      <c r="O31">
        <f t="shared" ca="1" si="3"/>
        <v>-0.22856982612379689</v>
      </c>
      <c r="Q31" s="2">
        <f t="shared" si="4"/>
        <v>21704.940000000002</v>
      </c>
    </row>
    <row r="32" spans="1:21">
      <c r="A32" s="45" t="s">
        <v>63</v>
      </c>
      <c r="B32" s="48" t="s">
        <v>37</v>
      </c>
      <c r="C32" s="46">
        <v>36808.341999999997</v>
      </c>
      <c r="D32" s="46" t="s">
        <v>57</v>
      </c>
      <c r="E32">
        <f t="shared" si="0"/>
        <v>115.04129233072008</v>
      </c>
      <c r="F32">
        <f t="shared" si="1"/>
        <v>115</v>
      </c>
      <c r="G32">
        <f t="shared" si="2"/>
        <v>0.20623499999783235</v>
      </c>
      <c r="I32">
        <f t="shared" si="5"/>
        <v>0.20623499999783235</v>
      </c>
      <c r="O32">
        <f t="shared" ca="1" si="3"/>
        <v>-0.22700342834515375</v>
      </c>
      <c r="Q32" s="2">
        <f t="shared" si="4"/>
        <v>21789.841999999997</v>
      </c>
    </row>
    <row r="33" spans="1:17">
      <c r="A33" s="45" t="s">
        <v>63</v>
      </c>
      <c r="B33" s="48" t="s">
        <v>37</v>
      </c>
      <c r="C33" s="46">
        <v>36848.28</v>
      </c>
      <c r="D33" s="46" t="s">
        <v>57</v>
      </c>
      <c r="E33">
        <f t="shared" si="0"/>
        <v>123.03767075495459</v>
      </c>
      <c r="F33">
        <f t="shared" si="1"/>
        <v>123</v>
      </c>
      <c r="G33">
        <f t="shared" si="2"/>
        <v>0.18814700000075391</v>
      </c>
      <c r="I33">
        <f t="shared" si="5"/>
        <v>0.18814700000075391</v>
      </c>
      <c r="O33">
        <f t="shared" ca="1" si="3"/>
        <v>-0.22626629997873343</v>
      </c>
      <c r="Q33" s="2">
        <f t="shared" si="4"/>
        <v>21829.78</v>
      </c>
    </row>
    <row r="34" spans="1:17">
      <c r="A34" s="45" t="s">
        <v>63</v>
      </c>
      <c r="B34" s="48" t="s">
        <v>37</v>
      </c>
      <c r="C34" s="46">
        <v>37017.574999999997</v>
      </c>
      <c r="D34" s="46" t="s">
        <v>57</v>
      </c>
      <c r="E34">
        <f t="shared" si="0"/>
        <v>156.93388201567626</v>
      </c>
      <c r="F34">
        <f t="shared" si="1"/>
        <v>157</v>
      </c>
      <c r="G34">
        <f t="shared" si="2"/>
        <v>-0.33022700000583427</v>
      </c>
      <c r="I34">
        <f t="shared" si="5"/>
        <v>-0.33022700000583427</v>
      </c>
      <c r="O34">
        <f t="shared" ca="1" si="3"/>
        <v>-0.22313350442144711</v>
      </c>
      <c r="Q34" s="2">
        <f t="shared" si="4"/>
        <v>21999.074999999997</v>
      </c>
    </row>
    <row r="35" spans="1:17">
      <c r="A35" s="45" t="s">
        <v>63</v>
      </c>
      <c r="B35" s="48" t="s">
        <v>37</v>
      </c>
      <c r="C35" s="46">
        <v>37317.671999999999</v>
      </c>
      <c r="D35" s="46" t="s">
        <v>57</v>
      </c>
      <c r="E35">
        <f t="shared" si="0"/>
        <v>217.0192437257619</v>
      </c>
      <c r="F35">
        <f t="shared" si="1"/>
        <v>217</v>
      </c>
      <c r="G35">
        <f t="shared" si="2"/>
        <v>9.6112999999604654E-2</v>
      </c>
      <c r="I35">
        <f t="shared" si="5"/>
        <v>9.6112999999604654E-2</v>
      </c>
      <c r="O35">
        <f t="shared" ca="1" si="3"/>
        <v>-0.21760504167329478</v>
      </c>
      <c r="Q35" s="2">
        <f t="shared" si="4"/>
        <v>22299.171999999999</v>
      </c>
    </row>
    <row r="36" spans="1:17">
      <c r="A36" s="45" t="s">
        <v>106</v>
      </c>
      <c r="B36" s="48" t="s">
        <v>37</v>
      </c>
      <c r="C36" s="46">
        <v>37542.334999999999</v>
      </c>
      <c r="D36" s="46" t="s">
        <v>57</v>
      </c>
      <c r="E36">
        <f t="shared" si="0"/>
        <v>262.00122494474419</v>
      </c>
      <c r="F36">
        <f t="shared" si="1"/>
        <v>262</v>
      </c>
      <c r="G36">
        <f t="shared" si="2"/>
        <v>6.1179999975138344E-3</v>
      </c>
      <c r="I36">
        <f t="shared" si="5"/>
        <v>6.1179999975138344E-3</v>
      </c>
      <c r="O36">
        <f t="shared" ca="1" si="3"/>
        <v>-0.21345869461218053</v>
      </c>
      <c r="Q36" s="2">
        <f t="shared" si="4"/>
        <v>22523.834999999999</v>
      </c>
    </row>
    <row r="37" spans="1:17">
      <c r="A37" s="45" t="s">
        <v>106</v>
      </c>
      <c r="B37" s="48" t="s">
        <v>37</v>
      </c>
      <c r="C37" s="46">
        <v>37577.292000000001</v>
      </c>
      <c r="D37" s="46" t="s">
        <v>57</v>
      </c>
      <c r="E37">
        <f t="shared" si="0"/>
        <v>269.00030853871408</v>
      </c>
      <c r="F37">
        <f t="shared" si="1"/>
        <v>269</v>
      </c>
      <c r="G37">
        <f t="shared" si="2"/>
        <v>1.5410000050906092E-3</v>
      </c>
      <c r="I37">
        <f t="shared" si="5"/>
        <v>1.5410000050906092E-3</v>
      </c>
      <c r="O37">
        <f t="shared" ca="1" si="3"/>
        <v>-0.21281370729156276</v>
      </c>
      <c r="Q37" s="2">
        <f t="shared" si="4"/>
        <v>22558.792000000001</v>
      </c>
    </row>
    <row r="38" spans="1:17">
      <c r="A38" s="45" t="s">
        <v>106</v>
      </c>
      <c r="B38" s="48" t="s">
        <v>37</v>
      </c>
      <c r="C38" s="46">
        <v>37602.243000000002</v>
      </c>
      <c r="D38" s="46" t="s">
        <v>57</v>
      </c>
      <c r="E38">
        <f t="shared" si="0"/>
        <v>273.99599280089728</v>
      </c>
      <c r="F38">
        <f t="shared" si="1"/>
        <v>274</v>
      </c>
      <c r="G38">
        <f t="shared" si="2"/>
        <v>-2.0013999994262122E-2</v>
      </c>
      <c r="I38">
        <f t="shared" si="5"/>
        <v>-2.0013999994262122E-2</v>
      </c>
      <c r="O38">
        <f t="shared" ca="1" si="3"/>
        <v>-0.21235300206255006</v>
      </c>
      <c r="Q38" s="2">
        <f t="shared" si="4"/>
        <v>22583.743000000002</v>
      </c>
    </row>
    <row r="39" spans="1:17">
      <c r="A39" s="45" t="s">
        <v>106</v>
      </c>
      <c r="B39" s="48" t="s">
        <v>37</v>
      </c>
      <c r="C39" s="46">
        <v>38091.627999999997</v>
      </c>
      <c r="D39" s="46" t="s">
        <v>57</v>
      </c>
      <c r="E39">
        <f t="shared" si="0"/>
        <v>371.9805602590518</v>
      </c>
      <c r="F39">
        <f t="shared" si="1"/>
        <v>372</v>
      </c>
      <c r="G39">
        <f t="shared" si="2"/>
        <v>-9.7092000003613066E-2</v>
      </c>
      <c r="I39">
        <f t="shared" si="5"/>
        <v>-9.7092000003613066E-2</v>
      </c>
      <c r="O39">
        <f t="shared" ca="1" si="3"/>
        <v>-0.20332317957390128</v>
      </c>
      <c r="Q39" s="2">
        <f t="shared" si="4"/>
        <v>23073.127999999997</v>
      </c>
    </row>
    <row r="40" spans="1:17">
      <c r="A40" s="45" t="s">
        <v>106</v>
      </c>
      <c r="B40" s="48" t="s">
        <v>37</v>
      </c>
      <c r="C40" s="46">
        <v>38146.563999999998</v>
      </c>
      <c r="D40" s="46" t="s">
        <v>57</v>
      </c>
      <c r="E40">
        <f t="shared" si="0"/>
        <v>382.97983526315159</v>
      </c>
      <c r="F40">
        <f t="shared" si="1"/>
        <v>383</v>
      </c>
      <c r="G40">
        <f t="shared" si="2"/>
        <v>-0.1007129999998142</v>
      </c>
      <c r="I40">
        <f t="shared" si="5"/>
        <v>-0.1007129999998142</v>
      </c>
      <c r="O40">
        <f t="shared" ca="1" si="3"/>
        <v>-0.20230962807007336</v>
      </c>
      <c r="Q40" s="2">
        <f t="shared" si="4"/>
        <v>23128.063999999998</v>
      </c>
    </row>
    <row r="41" spans="1:17">
      <c r="A41" s="45" t="s">
        <v>106</v>
      </c>
      <c r="B41" s="48" t="s">
        <v>37</v>
      </c>
      <c r="C41" s="46">
        <v>38171.487999999998</v>
      </c>
      <c r="D41" s="46" t="s">
        <v>57</v>
      </c>
      <c r="E41">
        <f t="shared" si="0"/>
        <v>387.97011359069938</v>
      </c>
      <c r="F41">
        <f t="shared" si="1"/>
        <v>388</v>
      </c>
      <c r="G41">
        <f t="shared" si="2"/>
        <v>-0.14926800000102958</v>
      </c>
      <c r="I41">
        <f t="shared" si="5"/>
        <v>-0.14926800000102958</v>
      </c>
      <c r="O41">
        <f t="shared" ca="1" si="3"/>
        <v>-0.20184892284106065</v>
      </c>
      <c r="Q41" s="2">
        <f t="shared" si="4"/>
        <v>23152.987999999998</v>
      </c>
    </row>
    <row r="42" spans="1:17">
      <c r="A42" s="45" t="s">
        <v>106</v>
      </c>
      <c r="B42" s="48" t="s">
        <v>37</v>
      </c>
      <c r="C42" s="46">
        <v>39180.576000000001</v>
      </c>
      <c r="D42" s="46" t="s">
        <v>57</v>
      </c>
      <c r="E42">
        <f t="shared" si="0"/>
        <v>590.00951244275984</v>
      </c>
      <c r="F42">
        <f t="shared" si="1"/>
        <v>590</v>
      </c>
      <c r="G42">
        <f t="shared" si="2"/>
        <v>4.7510000003967434E-2</v>
      </c>
      <c r="I42">
        <f t="shared" si="5"/>
        <v>4.7510000003967434E-2</v>
      </c>
      <c r="O42">
        <f t="shared" ca="1" si="3"/>
        <v>-0.18323643158894781</v>
      </c>
      <c r="Q42" s="2">
        <f t="shared" si="4"/>
        <v>24162.076000000001</v>
      </c>
    </row>
    <row r="43" spans="1:17">
      <c r="A43" s="45" t="s">
        <v>106</v>
      </c>
      <c r="B43" s="48" t="s">
        <v>37</v>
      </c>
      <c r="C43" s="46">
        <v>39205.601999999999</v>
      </c>
      <c r="D43" s="46" t="s">
        <v>57</v>
      </c>
      <c r="E43">
        <f t="shared" si="0"/>
        <v>595.02021319003984</v>
      </c>
      <c r="F43">
        <f t="shared" si="1"/>
        <v>595</v>
      </c>
      <c r="G43">
        <f t="shared" si="2"/>
        <v>0.10095500000170432</v>
      </c>
      <c r="I43">
        <f t="shared" si="5"/>
        <v>0.10095500000170432</v>
      </c>
      <c r="O43">
        <f t="shared" ca="1" si="3"/>
        <v>-0.18277572635993511</v>
      </c>
      <c r="Q43" s="2">
        <f t="shared" si="4"/>
        <v>24187.101999999999</v>
      </c>
    </row>
    <row r="44" spans="1:17">
      <c r="A44" s="45" t="s">
        <v>106</v>
      </c>
      <c r="B44" s="48" t="s">
        <v>37</v>
      </c>
      <c r="C44" s="46">
        <v>39270.468000000001</v>
      </c>
      <c r="D44" s="46" t="s">
        <v>57</v>
      </c>
      <c r="E44">
        <f t="shared" si="0"/>
        <v>608.00767082102755</v>
      </c>
      <c r="F44">
        <f t="shared" si="1"/>
        <v>608</v>
      </c>
      <c r="G44">
        <f t="shared" si="2"/>
        <v>3.8312000004225411E-2</v>
      </c>
      <c r="I44">
        <f t="shared" si="5"/>
        <v>3.8312000004225411E-2</v>
      </c>
      <c r="O44">
        <f t="shared" ca="1" si="3"/>
        <v>-0.18157789276450212</v>
      </c>
      <c r="Q44" s="2">
        <f t="shared" si="4"/>
        <v>24251.968000000001</v>
      </c>
    </row>
    <row r="45" spans="1:17">
      <c r="A45" s="45" t="s">
        <v>106</v>
      </c>
      <c r="B45" s="48" t="s">
        <v>37</v>
      </c>
      <c r="C45" s="46">
        <v>39330.444000000003</v>
      </c>
      <c r="D45" s="46" t="s">
        <v>57</v>
      </c>
      <c r="E45">
        <f t="shared" si="0"/>
        <v>620.01605362366865</v>
      </c>
      <c r="F45">
        <f t="shared" si="1"/>
        <v>620</v>
      </c>
      <c r="G45">
        <f t="shared" si="2"/>
        <v>8.0180000004475005E-2</v>
      </c>
      <c r="I45">
        <f t="shared" si="5"/>
        <v>8.0180000004475005E-2</v>
      </c>
      <c r="O45">
        <f t="shared" ca="1" si="3"/>
        <v>-0.18047220021487165</v>
      </c>
      <c r="Q45" s="2">
        <f t="shared" si="4"/>
        <v>24311.944000000003</v>
      </c>
    </row>
    <row r="46" spans="1:17">
      <c r="A46" s="45" t="s">
        <v>106</v>
      </c>
      <c r="B46" s="48" t="s">
        <v>37</v>
      </c>
      <c r="C46" s="46">
        <v>39355.398000000001</v>
      </c>
      <c r="D46" s="46" t="s">
        <v>57</v>
      </c>
      <c r="E46">
        <f t="shared" si="0"/>
        <v>625.01233854525526</v>
      </c>
      <c r="F46">
        <f t="shared" si="1"/>
        <v>625</v>
      </c>
      <c r="G46">
        <f t="shared" si="2"/>
        <v>6.1625000002095476E-2</v>
      </c>
      <c r="I46">
        <f t="shared" si="5"/>
        <v>6.1625000002095476E-2</v>
      </c>
      <c r="O46">
        <f t="shared" ca="1" si="3"/>
        <v>-0.18001149498585894</v>
      </c>
      <c r="Q46" s="2">
        <f t="shared" si="4"/>
        <v>24336.898000000001</v>
      </c>
    </row>
    <row r="47" spans="1:17">
      <c r="A47" s="45" t="s">
        <v>106</v>
      </c>
      <c r="B47" s="48" t="s">
        <v>37</v>
      </c>
      <c r="C47" s="46">
        <v>39380.370999999999</v>
      </c>
      <c r="D47" s="46" t="s">
        <v>57</v>
      </c>
      <c r="E47">
        <f t="shared" si="0"/>
        <v>630.01242764306642</v>
      </c>
      <c r="F47">
        <f t="shared" si="1"/>
        <v>630</v>
      </c>
      <c r="G47">
        <f t="shared" si="2"/>
        <v>6.2069999999948777E-2</v>
      </c>
      <c r="I47">
        <f t="shared" si="5"/>
        <v>6.2069999999948777E-2</v>
      </c>
      <c r="O47">
        <f t="shared" ca="1" si="3"/>
        <v>-0.17955078975684624</v>
      </c>
      <c r="Q47" s="2">
        <f t="shared" si="4"/>
        <v>24361.870999999999</v>
      </c>
    </row>
    <row r="48" spans="1:17">
      <c r="A48" s="45" t="s">
        <v>106</v>
      </c>
      <c r="B48" s="48" t="s">
        <v>37</v>
      </c>
      <c r="C48" s="46">
        <v>39385.351000000002</v>
      </c>
      <c r="D48" s="46" t="s">
        <v>57</v>
      </c>
      <c r="E48">
        <f t="shared" si="0"/>
        <v>631.00952225353046</v>
      </c>
      <c r="F48">
        <f t="shared" si="1"/>
        <v>631</v>
      </c>
      <c r="G48">
        <f t="shared" si="2"/>
        <v>4.7559000006003771E-2</v>
      </c>
      <c r="I48">
        <f t="shared" si="5"/>
        <v>4.7559000006003771E-2</v>
      </c>
      <c r="O48">
        <f t="shared" ca="1" si="3"/>
        <v>-0.17945864871104372</v>
      </c>
      <c r="Q48" s="2">
        <f t="shared" si="4"/>
        <v>24366.851000000002</v>
      </c>
    </row>
    <row r="49" spans="1:31">
      <c r="A49" s="45" t="s">
        <v>106</v>
      </c>
      <c r="B49" s="48" t="s">
        <v>37</v>
      </c>
      <c r="C49" s="46">
        <v>39390.39</v>
      </c>
      <c r="D49" s="46" t="s">
        <v>57</v>
      </c>
      <c r="E49">
        <f t="shared" si="0"/>
        <v>632.01842983226982</v>
      </c>
      <c r="F49">
        <f t="shared" si="1"/>
        <v>632</v>
      </c>
      <c r="G49">
        <f t="shared" si="2"/>
        <v>9.2047999998612795E-2</v>
      </c>
      <c r="I49">
        <f t="shared" si="5"/>
        <v>9.2047999998612795E-2</v>
      </c>
      <c r="O49">
        <f t="shared" ca="1" si="3"/>
        <v>-0.17936650766524118</v>
      </c>
      <c r="Q49" s="2">
        <f t="shared" si="4"/>
        <v>24371.89</v>
      </c>
    </row>
    <row r="50" spans="1:31">
      <c r="A50" t="s">
        <v>30</v>
      </c>
      <c r="C50" s="18">
        <v>47596.296000000002</v>
      </c>
      <c r="D50" s="17"/>
      <c r="E50">
        <f t="shared" si="0"/>
        <v>2275.0032986212268</v>
      </c>
      <c r="F50">
        <f t="shared" si="1"/>
        <v>2275</v>
      </c>
      <c r="G50">
        <f t="shared" si="2"/>
        <v>1.6475000003993046E-2</v>
      </c>
      <c r="I50">
        <f t="shared" si="5"/>
        <v>1.6475000003993046E-2</v>
      </c>
      <c r="O50">
        <f t="shared" ca="1" si="3"/>
        <v>-2.7978769411669935E-2</v>
      </c>
      <c r="Q50" s="2">
        <f t="shared" si="4"/>
        <v>32577.796000000002</v>
      </c>
      <c r="AA50">
        <v>4</v>
      </c>
      <c r="AC50" t="s">
        <v>29</v>
      </c>
      <c r="AE50" t="s">
        <v>31</v>
      </c>
    </row>
    <row r="51" spans="1:31">
      <c r="A51" t="s">
        <v>32</v>
      </c>
      <c r="C51" s="18">
        <v>48260.540999999997</v>
      </c>
      <c r="D51" s="17">
        <v>0.01</v>
      </c>
      <c r="E51">
        <f t="shared" si="0"/>
        <v>2407.9983005343261</v>
      </c>
      <c r="F51">
        <f t="shared" si="1"/>
        <v>2408</v>
      </c>
      <c r="G51">
        <f t="shared" si="2"/>
        <v>-8.4880000067641959E-3</v>
      </c>
      <c r="I51">
        <f t="shared" si="5"/>
        <v>-8.4880000067641959E-3</v>
      </c>
      <c r="O51">
        <f t="shared" ca="1" si="3"/>
        <v>-1.5724010319932258E-2</v>
      </c>
      <c r="Q51" s="2">
        <f t="shared" si="4"/>
        <v>33242.040999999997</v>
      </c>
      <c r="AA51">
        <v>6</v>
      </c>
      <c r="AC51" t="s">
        <v>29</v>
      </c>
      <c r="AE51" t="s">
        <v>31</v>
      </c>
    </row>
    <row r="52" spans="1:31">
      <c r="A52" t="s">
        <v>33</v>
      </c>
      <c r="C52" s="18">
        <v>50188.41</v>
      </c>
      <c r="D52" s="17">
        <v>0.02</v>
      </c>
      <c r="E52">
        <f t="shared" si="0"/>
        <v>2793.9958486426403</v>
      </c>
      <c r="F52">
        <f t="shared" si="1"/>
        <v>2794</v>
      </c>
      <c r="G52">
        <f t="shared" si="2"/>
        <v>-2.0733999997901265E-2</v>
      </c>
      <c r="I52">
        <f t="shared" si="5"/>
        <v>-2.0733999997901265E-2</v>
      </c>
      <c r="O52">
        <f t="shared" ca="1" si="3"/>
        <v>1.98424333598477E-2</v>
      </c>
      <c r="Q52" s="2">
        <f t="shared" si="4"/>
        <v>35169.910000000003</v>
      </c>
      <c r="AA52">
        <v>5</v>
      </c>
      <c r="AC52" t="s">
        <v>29</v>
      </c>
      <c r="AE52" t="s">
        <v>31</v>
      </c>
    </row>
    <row r="53" spans="1:31">
      <c r="A53" t="s">
        <v>33</v>
      </c>
      <c r="C53" s="18">
        <v>50188.41</v>
      </c>
      <c r="D53" s="17">
        <v>0.02</v>
      </c>
      <c r="E53">
        <f t="shared" si="0"/>
        <v>2793.9958486426403</v>
      </c>
      <c r="F53">
        <f t="shared" si="1"/>
        <v>2794</v>
      </c>
      <c r="G53">
        <f t="shared" si="2"/>
        <v>-2.0733999997901265E-2</v>
      </c>
      <c r="I53">
        <f t="shared" si="5"/>
        <v>-2.0733999997901265E-2</v>
      </c>
      <c r="O53">
        <f t="shared" ca="1" si="3"/>
        <v>1.98424333598477E-2</v>
      </c>
      <c r="Q53" s="2">
        <f t="shared" si="4"/>
        <v>35169.910000000003</v>
      </c>
      <c r="AA53">
        <v>5</v>
      </c>
      <c r="AC53" t="s">
        <v>29</v>
      </c>
      <c r="AE53" t="s">
        <v>31</v>
      </c>
    </row>
    <row r="54" spans="1:31">
      <c r="A54" s="45" t="s">
        <v>161</v>
      </c>
      <c r="B54" s="48" t="s">
        <v>37</v>
      </c>
      <c r="C54" s="46">
        <v>52041.432000000001</v>
      </c>
      <c r="D54" s="46" t="s">
        <v>57</v>
      </c>
      <c r="E54">
        <f t="shared" si="0"/>
        <v>3165.007545283212</v>
      </c>
      <c r="F54">
        <f t="shared" si="1"/>
        <v>3165</v>
      </c>
      <c r="G54">
        <f t="shared" si="2"/>
        <v>3.7685000002966262E-2</v>
      </c>
      <c r="I54">
        <f t="shared" si="5"/>
        <v>3.7685000002966262E-2</v>
      </c>
      <c r="O54">
        <f t="shared" ca="1" si="3"/>
        <v>5.4026761352589603E-2</v>
      </c>
      <c r="Q54" s="2">
        <f t="shared" si="4"/>
        <v>37022.932000000001</v>
      </c>
    </row>
    <row r="55" spans="1:31">
      <c r="A55" s="14" t="s">
        <v>36</v>
      </c>
      <c r="B55" s="15" t="s">
        <v>37</v>
      </c>
      <c r="C55" s="16">
        <v>53849.543299999998</v>
      </c>
      <c r="D55" s="16">
        <v>2.2000000000000001E-3</v>
      </c>
      <c r="E55">
        <f t="shared" si="0"/>
        <v>3527.0272304936352</v>
      </c>
      <c r="F55">
        <f t="shared" si="1"/>
        <v>3527</v>
      </c>
      <c r="G55">
        <f t="shared" si="2"/>
        <v>0.13600299999961862</v>
      </c>
      <c r="J55">
        <f>+G55</f>
        <v>0.13600299999961862</v>
      </c>
      <c r="O55">
        <f t="shared" ca="1" si="3"/>
        <v>8.7381819933108673E-2</v>
      </c>
      <c r="Q55" s="2">
        <f t="shared" si="4"/>
        <v>38831.043299999998</v>
      </c>
      <c r="R55" s="19"/>
    </row>
    <row r="56" spans="1:31">
      <c r="A56" s="20" t="s">
        <v>38</v>
      </c>
      <c r="B56" s="21" t="s">
        <v>37</v>
      </c>
      <c r="C56" s="20">
        <v>56771.334699999999</v>
      </c>
      <c r="D56" s="20">
        <v>8.9999999999999998E-4</v>
      </c>
      <c r="E56">
        <f t="shared" si="0"/>
        <v>4112.0277240354462</v>
      </c>
      <c r="F56">
        <f t="shared" si="1"/>
        <v>4112</v>
      </c>
      <c r="G56">
        <f t="shared" si="2"/>
        <v>0.13846799999737414</v>
      </c>
      <c r="J56">
        <f>+G56</f>
        <v>0.13846799999737414</v>
      </c>
      <c r="O56">
        <f t="shared" ca="1" si="3"/>
        <v>0.14128433172759386</v>
      </c>
      <c r="Q56" s="2">
        <f t="shared" si="4"/>
        <v>41752.834699999999</v>
      </c>
      <c r="R56" s="19"/>
    </row>
    <row r="57" spans="1:31">
      <c r="C57" s="17"/>
      <c r="D57" s="17"/>
    </row>
    <row r="58" spans="1:31">
      <c r="C58" s="17"/>
      <c r="D58" s="17"/>
    </row>
    <row r="59" spans="1:31">
      <c r="C59" s="17"/>
      <c r="D59" s="17"/>
    </row>
    <row r="60" spans="1:31">
      <c r="C60" s="17"/>
      <c r="D60" s="17"/>
    </row>
    <row r="61" spans="1:31">
      <c r="C61" s="17"/>
      <c r="D61" s="17"/>
    </row>
    <row r="62" spans="1:31">
      <c r="C62" s="17"/>
      <c r="D62" s="17"/>
    </row>
    <row r="63" spans="1:31">
      <c r="C63" s="17"/>
      <c r="D63" s="17"/>
    </row>
    <row r="64" spans="1:31">
      <c r="C64" s="17"/>
      <c r="D64" s="17"/>
    </row>
    <row r="65" spans="3:4">
      <c r="C65" s="17"/>
      <c r="D65" s="17"/>
    </row>
    <row r="66" spans="3:4">
      <c r="C66" s="17"/>
      <c r="D66" s="17"/>
    </row>
    <row r="67" spans="3:4">
      <c r="C67" s="17"/>
      <c r="D67" s="17"/>
    </row>
    <row r="68" spans="3:4">
      <c r="C68" s="17"/>
      <c r="D68" s="17"/>
    </row>
    <row r="69" spans="3:4">
      <c r="C69" s="17"/>
      <c r="D69" s="17"/>
    </row>
    <row r="70" spans="3:4">
      <c r="C70" s="17"/>
      <c r="D70" s="17"/>
    </row>
    <row r="71" spans="3:4">
      <c r="C71" s="17"/>
      <c r="D71" s="17"/>
    </row>
    <row r="72" spans="3:4">
      <c r="C72" s="17"/>
      <c r="D72" s="17"/>
    </row>
    <row r="73" spans="3:4">
      <c r="C73" s="17"/>
      <c r="D73" s="17"/>
    </row>
    <row r="74" spans="3:4">
      <c r="C74" s="17"/>
      <c r="D74" s="17"/>
    </row>
    <row r="75" spans="3:4">
      <c r="C75" s="17"/>
      <c r="D75" s="17"/>
    </row>
    <row r="76" spans="3:4">
      <c r="C76" s="17"/>
      <c r="D76" s="17"/>
    </row>
    <row r="77" spans="3:4">
      <c r="C77" s="17"/>
      <c r="D77" s="17"/>
    </row>
    <row r="78" spans="3:4">
      <c r="C78" s="17"/>
      <c r="D78" s="17"/>
    </row>
    <row r="79" spans="3:4">
      <c r="C79" s="17"/>
      <c r="D79" s="17"/>
    </row>
    <row r="80" spans="3:4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1"/>
  <sheetViews>
    <sheetView workbookViewId="0">
      <selection activeCell="A16" sqref="A16:D44"/>
    </sheetView>
  </sheetViews>
  <sheetFormatPr defaultRowHeight="12.75"/>
  <cols>
    <col min="1" max="1" width="19.7109375" style="17" customWidth="1"/>
    <col min="2" max="2" width="4.42578125" style="23" customWidth="1"/>
    <col min="3" max="3" width="12.7109375" style="17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7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32" t="s">
        <v>47</v>
      </c>
      <c r="I1" s="33" t="s">
        <v>48</v>
      </c>
      <c r="J1" s="34" t="s">
        <v>49</v>
      </c>
    </row>
    <row r="2" spans="1:16">
      <c r="I2" s="35" t="s">
        <v>50</v>
      </c>
      <c r="J2" s="36" t="s">
        <v>51</v>
      </c>
    </row>
    <row r="3" spans="1:16">
      <c r="A3" s="37" t="s">
        <v>52</v>
      </c>
      <c r="I3" s="35" t="s">
        <v>53</v>
      </c>
      <c r="J3" s="36" t="s">
        <v>54</v>
      </c>
    </row>
    <row r="4" spans="1:16">
      <c r="I4" s="35" t="s">
        <v>55</v>
      </c>
      <c r="J4" s="36" t="s">
        <v>54</v>
      </c>
    </row>
    <row r="5" spans="1:16" ht="13.5" thickBot="1">
      <c r="I5" s="38" t="s">
        <v>56</v>
      </c>
      <c r="J5" s="39" t="s">
        <v>57</v>
      </c>
    </row>
    <row r="10" spans="1:16" ht="13.5" thickBot="1"/>
    <row r="11" spans="1:16" ht="12.75" customHeight="1" thickBot="1">
      <c r="A11" s="17" t="str">
        <f t="shared" ref="A11:A44" si="0">P11</f>
        <v> BBS 91 </v>
      </c>
      <c r="B11" s="6" t="str">
        <f t="shared" ref="B11:B44" si="1">IF(H11=INT(H11),"I","II")</f>
        <v>I</v>
      </c>
      <c r="C11" s="17">
        <f t="shared" ref="C11:C44" si="2">1*G11</f>
        <v>47596.296000000002</v>
      </c>
      <c r="D11" s="23" t="str">
        <f t="shared" ref="D11:D44" si="3">VLOOKUP(F11,I$1:J$5,2,FALSE)</f>
        <v>vis</v>
      </c>
      <c r="E11" s="40">
        <f>VLOOKUP(C11,Active!C$21:E$973,3,FALSE)</f>
        <v>2275.0032986212268</v>
      </c>
      <c r="F11" s="6" t="s">
        <v>56</v>
      </c>
      <c r="G11" s="23" t="str">
        <f t="shared" ref="G11:G44" si="4">MID(I11,3,LEN(I11)-3)</f>
        <v>47596.296</v>
      </c>
      <c r="H11" s="17">
        <f t="shared" ref="H11:H44" si="5">1*K11</f>
        <v>2275</v>
      </c>
      <c r="I11" s="41" t="s">
        <v>144</v>
      </c>
      <c r="J11" s="42" t="s">
        <v>145</v>
      </c>
      <c r="K11" s="41">
        <v>2275</v>
      </c>
      <c r="L11" s="41" t="s">
        <v>146</v>
      </c>
      <c r="M11" s="42" t="s">
        <v>147</v>
      </c>
      <c r="N11" s="42"/>
      <c r="O11" s="43" t="s">
        <v>148</v>
      </c>
      <c r="P11" s="43" t="s">
        <v>149</v>
      </c>
    </row>
    <row r="12" spans="1:16" ht="12.75" customHeight="1" thickBot="1">
      <c r="A12" s="17" t="str">
        <f t="shared" si="0"/>
        <v> BBS 97 </v>
      </c>
      <c r="B12" s="6" t="str">
        <f t="shared" si="1"/>
        <v>I</v>
      </c>
      <c r="C12" s="17">
        <f t="shared" si="2"/>
        <v>48260.540999999997</v>
      </c>
      <c r="D12" s="23" t="str">
        <f t="shared" si="3"/>
        <v>vis</v>
      </c>
      <c r="E12" s="40">
        <f>VLOOKUP(C12,Active!C$21:E$973,3,FALSE)</f>
        <v>2407.9983005343261</v>
      </c>
      <c r="F12" s="6" t="s">
        <v>56</v>
      </c>
      <c r="G12" s="23" t="str">
        <f t="shared" si="4"/>
        <v>48260.541</v>
      </c>
      <c r="H12" s="17">
        <f t="shared" si="5"/>
        <v>2408</v>
      </c>
      <c r="I12" s="41" t="s">
        <v>150</v>
      </c>
      <c r="J12" s="42" t="s">
        <v>151</v>
      </c>
      <c r="K12" s="41">
        <v>2408</v>
      </c>
      <c r="L12" s="41" t="s">
        <v>152</v>
      </c>
      <c r="M12" s="42" t="s">
        <v>147</v>
      </c>
      <c r="N12" s="42"/>
      <c r="O12" s="43" t="s">
        <v>148</v>
      </c>
      <c r="P12" s="43" t="s">
        <v>153</v>
      </c>
    </row>
    <row r="13" spans="1:16" ht="12.75" customHeight="1" thickBot="1">
      <c r="A13" s="17" t="str">
        <f t="shared" si="0"/>
        <v> BBS 112 </v>
      </c>
      <c r="B13" s="6" t="str">
        <f t="shared" si="1"/>
        <v>I</v>
      </c>
      <c r="C13" s="17">
        <f t="shared" si="2"/>
        <v>50188.41</v>
      </c>
      <c r="D13" s="23" t="str">
        <f t="shared" si="3"/>
        <v>vis</v>
      </c>
      <c r="E13" s="40">
        <f>VLOOKUP(C13,Active!C$21:E$973,3,FALSE)</f>
        <v>2793.9958486426403</v>
      </c>
      <c r="F13" s="6" t="s">
        <v>56</v>
      </c>
      <c r="G13" s="23" t="str">
        <f t="shared" si="4"/>
        <v>50188.41</v>
      </c>
      <c r="H13" s="17">
        <f t="shared" si="5"/>
        <v>2794</v>
      </c>
      <c r="I13" s="41" t="s">
        <v>154</v>
      </c>
      <c r="J13" s="42" t="s">
        <v>155</v>
      </c>
      <c r="K13" s="41">
        <v>2794</v>
      </c>
      <c r="L13" s="41" t="s">
        <v>156</v>
      </c>
      <c r="M13" s="42" t="s">
        <v>147</v>
      </c>
      <c r="N13" s="42"/>
      <c r="O13" s="43" t="s">
        <v>148</v>
      </c>
      <c r="P13" s="43" t="s">
        <v>157</v>
      </c>
    </row>
    <row r="14" spans="1:16" ht="12.75" customHeight="1" thickBot="1">
      <c r="A14" s="17" t="str">
        <f t="shared" si="0"/>
        <v>IBVS 5713 </v>
      </c>
      <c r="B14" s="6" t="str">
        <f t="shared" si="1"/>
        <v>I</v>
      </c>
      <c r="C14" s="17">
        <f t="shared" si="2"/>
        <v>53849.543299999998</v>
      </c>
      <c r="D14" s="23" t="str">
        <f t="shared" si="3"/>
        <v>vis</v>
      </c>
      <c r="E14" s="40">
        <f>VLOOKUP(C14,Active!C$21:E$973,3,FALSE)</f>
        <v>3527.0272304936352</v>
      </c>
      <c r="F14" s="6" t="s">
        <v>56</v>
      </c>
      <c r="G14" s="23" t="str">
        <f t="shared" si="4"/>
        <v>53849.5433</v>
      </c>
      <c r="H14" s="17">
        <f t="shared" si="5"/>
        <v>3527</v>
      </c>
      <c r="I14" s="41" t="s">
        <v>162</v>
      </c>
      <c r="J14" s="42" t="s">
        <v>163</v>
      </c>
      <c r="K14" s="41">
        <v>3527</v>
      </c>
      <c r="L14" s="41" t="s">
        <v>164</v>
      </c>
      <c r="M14" s="42" t="s">
        <v>165</v>
      </c>
      <c r="N14" s="42" t="s">
        <v>166</v>
      </c>
      <c r="O14" s="43" t="s">
        <v>167</v>
      </c>
      <c r="P14" s="44" t="s">
        <v>168</v>
      </c>
    </row>
    <row r="15" spans="1:16" ht="12.75" customHeight="1" thickBot="1">
      <c r="A15" s="17" t="str">
        <f t="shared" si="0"/>
        <v>BAVM 238 </v>
      </c>
      <c r="B15" s="6" t="str">
        <f t="shared" si="1"/>
        <v>I</v>
      </c>
      <c r="C15" s="17">
        <f t="shared" si="2"/>
        <v>56771.334699999999</v>
      </c>
      <c r="D15" s="23" t="str">
        <f t="shared" si="3"/>
        <v>vis</v>
      </c>
      <c r="E15" s="40">
        <f>VLOOKUP(C15,Active!C$21:E$973,3,FALSE)</f>
        <v>4112.0277240354462</v>
      </c>
      <c r="F15" s="6" t="s">
        <v>56</v>
      </c>
      <c r="G15" s="23" t="str">
        <f t="shared" si="4"/>
        <v>56771.3347</v>
      </c>
      <c r="H15" s="17">
        <f t="shared" si="5"/>
        <v>4112</v>
      </c>
      <c r="I15" s="41" t="s">
        <v>169</v>
      </c>
      <c r="J15" s="42" t="s">
        <v>170</v>
      </c>
      <c r="K15" s="41">
        <v>4112</v>
      </c>
      <c r="L15" s="41" t="s">
        <v>171</v>
      </c>
      <c r="M15" s="42" t="s">
        <v>172</v>
      </c>
      <c r="N15" s="42" t="s">
        <v>173</v>
      </c>
      <c r="O15" s="43" t="s">
        <v>174</v>
      </c>
      <c r="P15" s="44" t="s">
        <v>175</v>
      </c>
    </row>
    <row r="16" spans="1:16" ht="12.75" customHeight="1" thickBot="1">
      <c r="A16" s="17" t="str">
        <f t="shared" si="0"/>
        <v> MVS 577 </v>
      </c>
      <c r="B16" s="6" t="str">
        <f t="shared" si="1"/>
        <v>I</v>
      </c>
      <c r="C16" s="17">
        <f t="shared" si="2"/>
        <v>36233.663999999997</v>
      </c>
      <c r="D16" s="23" t="str">
        <f t="shared" si="3"/>
        <v>vis</v>
      </c>
      <c r="E16" s="40">
        <f>VLOOKUP(C16,Active!C$21:E$973,3,FALSE)</f>
        <v>-2.0622639534239481E-2</v>
      </c>
      <c r="F16" s="6" t="s">
        <v>56</v>
      </c>
      <c r="G16" s="23" t="str">
        <f t="shared" si="4"/>
        <v>36233.664</v>
      </c>
      <c r="H16" s="17">
        <f t="shared" si="5"/>
        <v>0</v>
      </c>
      <c r="I16" s="41" t="s">
        <v>58</v>
      </c>
      <c r="J16" s="42" t="s">
        <v>59</v>
      </c>
      <c r="K16" s="41">
        <v>0</v>
      </c>
      <c r="L16" s="41" t="s">
        <v>60</v>
      </c>
      <c r="M16" s="42" t="s">
        <v>61</v>
      </c>
      <c r="N16" s="42"/>
      <c r="O16" s="43" t="s">
        <v>62</v>
      </c>
      <c r="P16" s="43" t="s">
        <v>63</v>
      </c>
    </row>
    <row r="17" spans="1:16" ht="12.75" customHeight="1" thickBot="1">
      <c r="A17" s="17" t="str">
        <f t="shared" si="0"/>
        <v> MVS 577 </v>
      </c>
      <c r="B17" s="6" t="str">
        <f t="shared" si="1"/>
        <v>I</v>
      </c>
      <c r="C17" s="17">
        <f t="shared" si="2"/>
        <v>36263.671000000002</v>
      </c>
      <c r="D17" s="23" t="str">
        <f t="shared" si="3"/>
        <v>vis</v>
      </c>
      <c r="E17" s="40">
        <f>VLOOKUP(C17,Active!C$21:E$973,3,FALSE)</f>
        <v>5.987372938011803</v>
      </c>
      <c r="F17" s="6" t="s">
        <v>56</v>
      </c>
      <c r="G17" s="23" t="str">
        <f t="shared" si="4"/>
        <v>36263.671</v>
      </c>
      <c r="H17" s="17">
        <f t="shared" si="5"/>
        <v>6</v>
      </c>
      <c r="I17" s="41" t="s">
        <v>64</v>
      </c>
      <c r="J17" s="42" t="s">
        <v>65</v>
      </c>
      <c r="K17" s="41">
        <v>6</v>
      </c>
      <c r="L17" s="41" t="s">
        <v>66</v>
      </c>
      <c r="M17" s="42" t="s">
        <v>61</v>
      </c>
      <c r="N17" s="42"/>
      <c r="O17" s="43" t="s">
        <v>62</v>
      </c>
      <c r="P17" s="43" t="s">
        <v>63</v>
      </c>
    </row>
    <row r="18" spans="1:16" ht="12.75" customHeight="1" thickBot="1">
      <c r="A18" s="17" t="str">
        <f t="shared" si="0"/>
        <v> MVS 577 </v>
      </c>
      <c r="B18" s="6" t="str">
        <f t="shared" si="1"/>
        <v>I</v>
      </c>
      <c r="C18" s="17">
        <f t="shared" si="2"/>
        <v>36288.608</v>
      </c>
      <c r="D18" s="23" t="str">
        <f t="shared" si="3"/>
        <v>vis</v>
      </c>
      <c r="E18" s="40">
        <f>VLOOKUP(C18,Active!C$21:E$973,3,FALSE)</f>
        <v>10.980254122976273</v>
      </c>
      <c r="F18" s="6" t="s">
        <v>56</v>
      </c>
      <c r="G18" s="23" t="str">
        <f t="shared" si="4"/>
        <v>36288.608</v>
      </c>
      <c r="H18" s="17">
        <f t="shared" si="5"/>
        <v>11</v>
      </c>
      <c r="I18" s="41" t="s">
        <v>67</v>
      </c>
      <c r="J18" s="42" t="s">
        <v>68</v>
      </c>
      <c r="K18" s="41">
        <v>11</v>
      </c>
      <c r="L18" s="41" t="s">
        <v>69</v>
      </c>
      <c r="M18" s="42" t="s">
        <v>61</v>
      </c>
      <c r="N18" s="42"/>
      <c r="O18" s="43" t="s">
        <v>62</v>
      </c>
      <c r="P18" s="43" t="s">
        <v>63</v>
      </c>
    </row>
    <row r="19" spans="1:16" ht="12.75" customHeight="1" thickBot="1">
      <c r="A19" s="17" t="str">
        <f t="shared" si="0"/>
        <v> MVS 577 </v>
      </c>
      <c r="B19" s="6" t="str">
        <f t="shared" si="1"/>
        <v>I</v>
      </c>
      <c r="C19" s="17">
        <f t="shared" si="2"/>
        <v>36318.574000000001</v>
      </c>
      <c r="D19" s="23" t="str">
        <f t="shared" si="3"/>
        <v>vis</v>
      </c>
      <c r="E19" s="40">
        <f>VLOOKUP(C19,Active!C$21:E$973,3,FALSE)</f>
        <v>16.980040688668158</v>
      </c>
      <c r="F19" s="6" t="s">
        <v>56</v>
      </c>
      <c r="G19" s="23" t="str">
        <f t="shared" si="4"/>
        <v>36318.574</v>
      </c>
      <c r="H19" s="17">
        <f t="shared" si="5"/>
        <v>17</v>
      </c>
      <c r="I19" s="41" t="s">
        <v>70</v>
      </c>
      <c r="J19" s="42" t="s">
        <v>71</v>
      </c>
      <c r="K19" s="41">
        <v>17</v>
      </c>
      <c r="L19" s="41" t="s">
        <v>72</v>
      </c>
      <c r="M19" s="42" t="s">
        <v>61</v>
      </c>
      <c r="N19" s="42"/>
      <c r="O19" s="43" t="s">
        <v>62</v>
      </c>
      <c r="P19" s="43" t="s">
        <v>63</v>
      </c>
    </row>
    <row r="20" spans="1:16" ht="12.75" customHeight="1" thickBot="1">
      <c r="A20" s="17" t="str">
        <f t="shared" si="0"/>
        <v> MVS 577 </v>
      </c>
      <c r="B20" s="6" t="str">
        <f t="shared" si="1"/>
        <v>I</v>
      </c>
      <c r="C20" s="17">
        <f t="shared" si="2"/>
        <v>36343.472999999998</v>
      </c>
      <c r="D20" s="23" t="str">
        <f t="shared" si="3"/>
        <v>vis</v>
      </c>
      <c r="E20" s="40">
        <f>VLOOKUP(C20,Active!C$21:E$973,3,FALSE)</f>
        <v>21.965313521183216</v>
      </c>
      <c r="F20" s="6" t="s">
        <v>56</v>
      </c>
      <c r="G20" s="23" t="str">
        <f t="shared" si="4"/>
        <v>36343.473</v>
      </c>
      <c r="H20" s="17">
        <f t="shared" si="5"/>
        <v>22</v>
      </c>
      <c r="I20" s="41" t="s">
        <v>73</v>
      </c>
      <c r="J20" s="42" t="s">
        <v>74</v>
      </c>
      <c r="K20" s="41">
        <v>22</v>
      </c>
      <c r="L20" s="41" t="s">
        <v>75</v>
      </c>
      <c r="M20" s="42" t="s">
        <v>61</v>
      </c>
      <c r="N20" s="42"/>
      <c r="O20" s="43" t="s">
        <v>62</v>
      </c>
      <c r="P20" s="43" t="s">
        <v>63</v>
      </c>
    </row>
    <row r="21" spans="1:16" ht="12.75" customHeight="1" thickBot="1">
      <c r="A21" s="17" t="str">
        <f t="shared" si="0"/>
        <v> MVS 577 </v>
      </c>
      <c r="B21" s="6" t="str">
        <f t="shared" si="1"/>
        <v>I</v>
      </c>
      <c r="C21" s="17">
        <f t="shared" si="2"/>
        <v>36403.428999999996</v>
      </c>
      <c r="D21" s="23" t="str">
        <f t="shared" si="3"/>
        <v>vis</v>
      </c>
      <c r="E21" s="40">
        <f>VLOOKUP(C21,Active!C$21:E$973,3,FALSE)</f>
        <v>33.969691927797662</v>
      </c>
      <c r="F21" s="6" t="s">
        <v>56</v>
      </c>
      <c r="G21" s="23" t="str">
        <f t="shared" si="4"/>
        <v>36403.429</v>
      </c>
      <c r="H21" s="17">
        <f t="shared" si="5"/>
        <v>34</v>
      </c>
      <c r="I21" s="41" t="s">
        <v>76</v>
      </c>
      <c r="J21" s="42" t="s">
        <v>77</v>
      </c>
      <c r="K21" s="41">
        <v>34</v>
      </c>
      <c r="L21" s="41" t="s">
        <v>78</v>
      </c>
      <c r="M21" s="42" t="s">
        <v>61</v>
      </c>
      <c r="N21" s="42"/>
      <c r="O21" s="43" t="s">
        <v>62</v>
      </c>
      <c r="P21" s="43" t="s">
        <v>63</v>
      </c>
    </row>
    <row r="22" spans="1:16" ht="12.75" customHeight="1" thickBot="1">
      <c r="A22" s="17" t="str">
        <f t="shared" si="0"/>
        <v> MVS 577 </v>
      </c>
      <c r="B22" s="6" t="str">
        <f t="shared" si="1"/>
        <v>I</v>
      </c>
      <c r="C22" s="17">
        <f t="shared" si="2"/>
        <v>36433.370000000003</v>
      </c>
      <c r="D22" s="23" t="str">
        <f t="shared" si="3"/>
        <v>vis</v>
      </c>
      <c r="E22" s="40">
        <f>VLOOKUP(C22,Active!C$21:E$973,3,FALSE)</f>
        <v>39.964472998458263</v>
      </c>
      <c r="F22" s="6" t="s">
        <v>56</v>
      </c>
      <c r="G22" s="23" t="str">
        <f t="shared" si="4"/>
        <v>36433.370</v>
      </c>
      <c r="H22" s="17">
        <f t="shared" si="5"/>
        <v>40</v>
      </c>
      <c r="I22" s="41" t="s">
        <v>79</v>
      </c>
      <c r="J22" s="42" t="s">
        <v>80</v>
      </c>
      <c r="K22" s="41">
        <v>40</v>
      </c>
      <c r="L22" s="41" t="s">
        <v>81</v>
      </c>
      <c r="M22" s="42" t="s">
        <v>61</v>
      </c>
      <c r="N22" s="42"/>
      <c r="O22" s="43" t="s">
        <v>62</v>
      </c>
      <c r="P22" s="43" t="s">
        <v>63</v>
      </c>
    </row>
    <row r="23" spans="1:16" ht="12.75" customHeight="1" thickBot="1">
      <c r="A23" s="17" t="str">
        <f t="shared" si="0"/>
        <v> MVS 577 </v>
      </c>
      <c r="B23" s="6" t="str">
        <f t="shared" si="1"/>
        <v>II</v>
      </c>
      <c r="C23" s="17">
        <f t="shared" si="2"/>
        <v>36675.555999999997</v>
      </c>
      <c r="D23" s="23" t="str">
        <f t="shared" si="3"/>
        <v>vis</v>
      </c>
      <c r="E23" s="40">
        <f>VLOOKUP(C23,Active!C$21:E$973,3,FALSE)</f>
        <v>88.454905795581794</v>
      </c>
      <c r="F23" s="6" t="s">
        <v>56</v>
      </c>
      <c r="G23" s="23" t="str">
        <f t="shared" si="4"/>
        <v>36675.556</v>
      </c>
      <c r="H23" s="17">
        <f t="shared" si="5"/>
        <v>88.5</v>
      </c>
      <c r="I23" s="41" t="s">
        <v>82</v>
      </c>
      <c r="J23" s="42" t="s">
        <v>83</v>
      </c>
      <c r="K23" s="41">
        <v>88.5</v>
      </c>
      <c r="L23" s="41" t="s">
        <v>84</v>
      </c>
      <c r="M23" s="42" t="s">
        <v>61</v>
      </c>
      <c r="N23" s="42"/>
      <c r="O23" s="43" t="s">
        <v>62</v>
      </c>
      <c r="P23" s="43" t="s">
        <v>63</v>
      </c>
    </row>
    <row r="24" spans="1:16" ht="12.75" customHeight="1" thickBot="1">
      <c r="A24" s="17" t="str">
        <f t="shared" si="0"/>
        <v> MVS 577 </v>
      </c>
      <c r="B24" s="6" t="str">
        <f t="shared" si="1"/>
        <v>I</v>
      </c>
      <c r="C24" s="17">
        <f t="shared" si="2"/>
        <v>36698.51</v>
      </c>
      <c r="D24" s="23" t="str">
        <f t="shared" si="3"/>
        <v>vis</v>
      </c>
      <c r="E24" s="40">
        <f>VLOOKUP(C24,Active!C$21:E$973,3,FALSE)</f>
        <v>93.050751114574012</v>
      </c>
      <c r="F24" s="6" t="s">
        <v>56</v>
      </c>
      <c r="G24" s="23" t="str">
        <f t="shared" si="4"/>
        <v>36698.510</v>
      </c>
      <c r="H24" s="17">
        <f t="shared" si="5"/>
        <v>93</v>
      </c>
      <c r="I24" s="41" t="s">
        <v>85</v>
      </c>
      <c r="J24" s="42" t="s">
        <v>86</v>
      </c>
      <c r="K24" s="41">
        <v>93</v>
      </c>
      <c r="L24" s="41" t="s">
        <v>87</v>
      </c>
      <c r="M24" s="42" t="s">
        <v>61</v>
      </c>
      <c r="N24" s="42"/>
      <c r="O24" s="43" t="s">
        <v>62</v>
      </c>
      <c r="P24" s="43" t="s">
        <v>63</v>
      </c>
    </row>
    <row r="25" spans="1:16" ht="12.75" customHeight="1" thickBot="1">
      <c r="A25" s="17" t="str">
        <f t="shared" si="0"/>
        <v> MVS 577 </v>
      </c>
      <c r="B25" s="6" t="str">
        <f t="shared" si="1"/>
        <v>I</v>
      </c>
      <c r="C25" s="17">
        <f t="shared" si="2"/>
        <v>36723.440000000002</v>
      </c>
      <c r="D25" s="23" t="str">
        <f t="shared" si="3"/>
        <v>vis</v>
      </c>
      <c r="E25" s="40">
        <f>VLOOKUP(C25,Active!C$21:E$973,3,FALSE)</f>
        <v>98.04223076092984</v>
      </c>
      <c r="F25" s="6" t="s">
        <v>56</v>
      </c>
      <c r="G25" s="23" t="str">
        <f t="shared" si="4"/>
        <v>36723.440</v>
      </c>
      <c r="H25" s="17">
        <f t="shared" si="5"/>
        <v>98</v>
      </c>
      <c r="I25" s="41" t="s">
        <v>88</v>
      </c>
      <c r="J25" s="42" t="s">
        <v>89</v>
      </c>
      <c r="K25" s="41">
        <v>98</v>
      </c>
      <c r="L25" s="41" t="s">
        <v>90</v>
      </c>
      <c r="M25" s="42" t="s">
        <v>61</v>
      </c>
      <c r="N25" s="42"/>
      <c r="O25" s="43" t="s">
        <v>62</v>
      </c>
      <c r="P25" s="43" t="s">
        <v>63</v>
      </c>
    </row>
    <row r="26" spans="1:16" ht="12.75" customHeight="1" thickBot="1">
      <c r="A26" s="17" t="str">
        <f t="shared" si="0"/>
        <v> MVS 577 </v>
      </c>
      <c r="B26" s="6" t="str">
        <f t="shared" si="1"/>
        <v>I</v>
      </c>
      <c r="C26" s="17">
        <f t="shared" si="2"/>
        <v>36808.341999999997</v>
      </c>
      <c r="D26" s="23" t="str">
        <f t="shared" si="3"/>
        <v>vis</v>
      </c>
      <c r="E26" s="40">
        <f>VLOOKUP(C26,Active!C$21:E$973,3,FALSE)</f>
        <v>115.04129233072008</v>
      </c>
      <c r="F26" s="6" t="s">
        <v>56</v>
      </c>
      <c r="G26" s="23" t="str">
        <f t="shared" si="4"/>
        <v>36808.342</v>
      </c>
      <c r="H26" s="17">
        <f t="shared" si="5"/>
        <v>115</v>
      </c>
      <c r="I26" s="41" t="s">
        <v>91</v>
      </c>
      <c r="J26" s="42" t="s">
        <v>92</v>
      </c>
      <c r="K26" s="41">
        <v>115</v>
      </c>
      <c r="L26" s="41" t="s">
        <v>93</v>
      </c>
      <c r="M26" s="42" t="s">
        <v>61</v>
      </c>
      <c r="N26" s="42"/>
      <c r="O26" s="43" t="s">
        <v>62</v>
      </c>
      <c r="P26" s="43" t="s">
        <v>63</v>
      </c>
    </row>
    <row r="27" spans="1:16" ht="12.75" customHeight="1" thickBot="1">
      <c r="A27" s="17" t="str">
        <f t="shared" si="0"/>
        <v> MVS 577 </v>
      </c>
      <c r="B27" s="6" t="str">
        <f t="shared" si="1"/>
        <v>I</v>
      </c>
      <c r="C27" s="17">
        <f t="shared" si="2"/>
        <v>36848.28</v>
      </c>
      <c r="D27" s="23" t="str">
        <f t="shared" si="3"/>
        <v>vis</v>
      </c>
      <c r="E27" s="40">
        <f>VLOOKUP(C27,Active!C$21:E$973,3,FALSE)</f>
        <v>123.03767075495459</v>
      </c>
      <c r="F27" s="6" t="s">
        <v>56</v>
      </c>
      <c r="G27" s="23" t="str">
        <f t="shared" si="4"/>
        <v>36848.280</v>
      </c>
      <c r="H27" s="17">
        <f t="shared" si="5"/>
        <v>123</v>
      </c>
      <c r="I27" s="41" t="s">
        <v>94</v>
      </c>
      <c r="J27" s="42" t="s">
        <v>95</v>
      </c>
      <c r="K27" s="41">
        <v>123</v>
      </c>
      <c r="L27" s="41" t="s">
        <v>96</v>
      </c>
      <c r="M27" s="42" t="s">
        <v>61</v>
      </c>
      <c r="N27" s="42"/>
      <c r="O27" s="43" t="s">
        <v>62</v>
      </c>
      <c r="P27" s="43" t="s">
        <v>63</v>
      </c>
    </row>
    <row r="28" spans="1:16" ht="12.75" customHeight="1" thickBot="1">
      <c r="A28" s="17" t="str">
        <f t="shared" si="0"/>
        <v> MVS 577 </v>
      </c>
      <c r="B28" s="6" t="str">
        <f t="shared" si="1"/>
        <v>I</v>
      </c>
      <c r="C28" s="17">
        <f t="shared" si="2"/>
        <v>37017.574999999997</v>
      </c>
      <c r="D28" s="23" t="str">
        <f t="shared" si="3"/>
        <v>vis</v>
      </c>
      <c r="E28" s="40">
        <f>VLOOKUP(C28,Active!C$21:E$973,3,FALSE)</f>
        <v>156.93388201567626</v>
      </c>
      <c r="F28" s="6" t="s">
        <v>56</v>
      </c>
      <c r="G28" s="23" t="str">
        <f t="shared" si="4"/>
        <v>37017.575</v>
      </c>
      <c r="H28" s="17">
        <f t="shared" si="5"/>
        <v>157</v>
      </c>
      <c r="I28" s="41" t="s">
        <v>97</v>
      </c>
      <c r="J28" s="42" t="s">
        <v>98</v>
      </c>
      <c r="K28" s="41">
        <v>157</v>
      </c>
      <c r="L28" s="41" t="s">
        <v>99</v>
      </c>
      <c r="M28" s="42" t="s">
        <v>61</v>
      </c>
      <c r="N28" s="42"/>
      <c r="O28" s="43" t="s">
        <v>62</v>
      </c>
      <c r="P28" s="43" t="s">
        <v>63</v>
      </c>
    </row>
    <row r="29" spans="1:16" ht="12.75" customHeight="1" thickBot="1">
      <c r="A29" s="17" t="str">
        <f t="shared" si="0"/>
        <v> MVS 577 </v>
      </c>
      <c r="B29" s="6" t="str">
        <f t="shared" si="1"/>
        <v>I</v>
      </c>
      <c r="C29" s="17">
        <f t="shared" si="2"/>
        <v>37317.671999999999</v>
      </c>
      <c r="D29" s="23" t="str">
        <f t="shared" si="3"/>
        <v>vis</v>
      </c>
      <c r="E29" s="40">
        <f>VLOOKUP(C29,Active!C$21:E$973,3,FALSE)</f>
        <v>217.0192437257619</v>
      </c>
      <c r="F29" s="6" t="s">
        <v>56</v>
      </c>
      <c r="G29" s="23" t="str">
        <f t="shared" si="4"/>
        <v>37317.672</v>
      </c>
      <c r="H29" s="17">
        <f t="shared" si="5"/>
        <v>217</v>
      </c>
      <c r="I29" s="41" t="s">
        <v>100</v>
      </c>
      <c r="J29" s="42" t="s">
        <v>101</v>
      </c>
      <c r="K29" s="41">
        <v>217</v>
      </c>
      <c r="L29" s="41" t="s">
        <v>102</v>
      </c>
      <c r="M29" s="42" t="s">
        <v>61</v>
      </c>
      <c r="N29" s="42"/>
      <c r="O29" s="43" t="s">
        <v>62</v>
      </c>
      <c r="P29" s="43" t="s">
        <v>63</v>
      </c>
    </row>
    <row r="30" spans="1:16" ht="12.75" customHeight="1" thickBot="1">
      <c r="A30" s="17" t="str">
        <f t="shared" si="0"/>
        <v> MVS 4.175 </v>
      </c>
      <c r="B30" s="6" t="str">
        <f t="shared" si="1"/>
        <v>I</v>
      </c>
      <c r="C30" s="17">
        <f t="shared" si="2"/>
        <v>37542.334999999999</v>
      </c>
      <c r="D30" s="23" t="str">
        <f t="shared" si="3"/>
        <v>vis</v>
      </c>
      <c r="E30" s="40">
        <f>VLOOKUP(C30,Active!C$21:E$973,3,FALSE)</f>
        <v>262.00122494474419</v>
      </c>
      <c r="F30" s="6" t="s">
        <v>56</v>
      </c>
      <c r="G30" s="23" t="str">
        <f t="shared" si="4"/>
        <v>37542.335</v>
      </c>
      <c r="H30" s="17">
        <f t="shared" si="5"/>
        <v>262</v>
      </c>
      <c r="I30" s="41" t="s">
        <v>103</v>
      </c>
      <c r="J30" s="42" t="s">
        <v>104</v>
      </c>
      <c r="K30" s="41">
        <v>262</v>
      </c>
      <c r="L30" s="41" t="s">
        <v>105</v>
      </c>
      <c r="M30" s="42" t="s">
        <v>61</v>
      </c>
      <c r="N30" s="42"/>
      <c r="O30" s="43" t="s">
        <v>62</v>
      </c>
      <c r="P30" s="43" t="s">
        <v>106</v>
      </c>
    </row>
    <row r="31" spans="1:16" ht="12.75" customHeight="1" thickBot="1">
      <c r="A31" s="17" t="str">
        <f t="shared" si="0"/>
        <v> MVS 4.175 </v>
      </c>
      <c r="B31" s="6" t="str">
        <f t="shared" si="1"/>
        <v>I</v>
      </c>
      <c r="C31" s="17">
        <f t="shared" si="2"/>
        <v>37577.292000000001</v>
      </c>
      <c r="D31" s="23" t="str">
        <f t="shared" si="3"/>
        <v>vis</v>
      </c>
      <c r="E31" s="40">
        <f>VLOOKUP(C31,Active!C$21:E$973,3,FALSE)</f>
        <v>269.00030853871408</v>
      </c>
      <c r="F31" s="6" t="s">
        <v>56</v>
      </c>
      <c r="G31" s="23" t="str">
        <f t="shared" si="4"/>
        <v>37577.292</v>
      </c>
      <c r="H31" s="17">
        <f t="shared" si="5"/>
        <v>269</v>
      </c>
      <c r="I31" s="41" t="s">
        <v>107</v>
      </c>
      <c r="J31" s="42" t="s">
        <v>108</v>
      </c>
      <c r="K31" s="41">
        <v>269</v>
      </c>
      <c r="L31" s="41" t="s">
        <v>109</v>
      </c>
      <c r="M31" s="42" t="s">
        <v>61</v>
      </c>
      <c r="N31" s="42"/>
      <c r="O31" s="43" t="s">
        <v>62</v>
      </c>
      <c r="P31" s="43" t="s">
        <v>106</v>
      </c>
    </row>
    <row r="32" spans="1:16" ht="12.75" customHeight="1" thickBot="1">
      <c r="A32" s="17" t="str">
        <f t="shared" si="0"/>
        <v> MVS 4.175 </v>
      </c>
      <c r="B32" s="6" t="str">
        <f t="shared" si="1"/>
        <v>I</v>
      </c>
      <c r="C32" s="17">
        <f t="shared" si="2"/>
        <v>37602.243000000002</v>
      </c>
      <c r="D32" s="23" t="str">
        <f t="shared" si="3"/>
        <v>vis</v>
      </c>
      <c r="E32" s="40">
        <f>VLOOKUP(C32,Active!C$21:E$973,3,FALSE)</f>
        <v>273.99599280089728</v>
      </c>
      <c r="F32" s="6" t="s">
        <v>56</v>
      </c>
      <c r="G32" s="23" t="str">
        <f t="shared" si="4"/>
        <v>37602.243</v>
      </c>
      <c r="H32" s="17">
        <f t="shared" si="5"/>
        <v>274</v>
      </c>
      <c r="I32" s="41" t="s">
        <v>110</v>
      </c>
      <c r="J32" s="42" t="s">
        <v>111</v>
      </c>
      <c r="K32" s="41">
        <v>274</v>
      </c>
      <c r="L32" s="41" t="s">
        <v>112</v>
      </c>
      <c r="M32" s="42" t="s">
        <v>61</v>
      </c>
      <c r="N32" s="42"/>
      <c r="O32" s="43" t="s">
        <v>62</v>
      </c>
      <c r="P32" s="43" t="s">
        <v>106</v>
      </c>
    </row>
    <row r="33" spans="1:16" ht="12.75" customHeight="1" thickBot="1">
      <c r="A33" s="17" t="str">
        <f t="shared" si="0"/>
        <v> MVS 4.175 </v>
      </c>
      <c r="B33" s="6" t="str">
        <f t="shared" si="1"/>
        <v>I</v>
      </c>
      <c r="C33" s="17">
        <f t="shared" si="2"/>
        <v>38091.627999999997</v>
      </c>
      <c r="D33" s="23" t="str">
        <f t="shared" si="3"/>
        <v>vis</v>
      </c>
      <c r="E33" s="40">
        <f>VLOOKUP(C33,Active!C$21:E$973,3,FALSE)</f>
        <v>371.9805602590518</v>
      </c>
      <c r="F33" s="6" t="s">
        <v>56</v>
      </c>
      <c r="G33" s="23" t="str">
        <f t="shared" si="4"/>
        <v>38091.628</v>
      </c>
      <c r="H33" s="17">
        <f t="shared" si="5"/>
        <v>372</v>
      </c>
      <c r="I33" s="41" t="s">
        <v>113</v>
      </c>
      <c r="J33" s="42" t="s">
        <v>114</v>
      </c>
      <c r="K33" s="41">
        <v>372</v>
      </c>
      <c r="L33" s="41" t="s">
        <v>115</v>
      </c>
      <c r="M33" s="42" t="s">
        <v>61</v>
      </c>
      <c r="N33" s="42"/>
      <c r="O33" s="43" t="s">
        <v>62</v>
      </c>
      <c r="P33" s="43" t="s">
        <v>106</v>
      </c>
    </row>
    <row r="34" spans="1:16" ht="12.75" customHeight="1" thickBot="1">
      <c r="A34" s="17" t="str">
        <f t="shared" si="0"/>
        <v> MVS 4.175 </v>
      </c>
      <c r="B34" s="6" t="str">
        <f t="shared" si="1"/>
        <v>I</v>
      </c>
      <c r="C34" s="17">
        <f t="shared" si="2"/>
        <v>38146.563999999998</v>
      </c>
      <c r="D34" s="23" t="str">
        <f t="shared" si="3"/>
        <v>vis</v>
      </c>
      <c r="E34" s="40">
        <f>VLOOKUP(C34,Active!C$21:E$973,3,FALSE)</f>
        <v>382.97983526315159</v>
      </c>
      <c r="F34" s="6" t="s">
        <v>56</v>
      </c>
      <c r="G34" s="23" t="str">
        <f t="shared" si="4"/>
        <v>38146.564</v>
      </c>
      <c r="H34" s="17">
        <f t="shared" si="5"/>
        <v>383</v>
      </c>
      <c r="I34" s="41" t="s">
        <v>116</v>
      </c>
      <c r="J34" s="42" t="s">
        <v>117</v>
      </c>
      <c r="K34" s="41">
        <v>383</v>
      </c>
      <c r="L34" s="41" t="s">
        <v>118</v>
      </c>
      <c r="M34" s="42" t="s">
        <v>61</v>
      </c>
      <c r="N34" s="42"/>
      <c r="O34" s="43" t="s">
        <v>62</v>
      </c>
      <c r="P34" s="43" t="s">
        <v>106</v>
      </c>
    </row>
    <row r="35" spans="1:16" ht="12.75" customHeight="1" thickBot="1">
      <c r="A35" s="17" t="str">
        <f t="shared" si="0"/>
        <v> MVS 4.175 </v>
      </c>
      <c r="B35" s="6" t="str">
        <f t="shared" si="1"/>
        <v>I</v>
      </c>
      <c r="C35" s="17">
        <f t="shared" si="2"/>
        <v>38171.487999999998</v>
      </c>
      <c r="D35" s="23" t="str">
        <f t="shared" si="3"/>
        <v>vis</v>
      </c>
      <c r="E35" s="40">
        <f>VLOOKUP(C35,Active!C$21:E$973,3,FALSE)</f>
        <v>387.97011359069938</v>
      </c>
      <c r="F35" s="6" t="s">
        <v>56</v>
      </c>
      <c r="G35" s="23" t="str">
        <f t="shared" si="4"/>
        <v>38171.488</v>
      </c>
      <c r="H35" s="17">
        <f t="shared" si="5"/>
        <v>388</v>
      </c>
      <c r="I35" s="41" t="s">
        <v>119</v>
      </c>
      <c r="J35" s="42" t="s">
        <v>120</v>
      </c>
      <c r="K35" s="41">
        <v>388</v>
      </c>
      <c r="L35" s="41" t="s">
        <v>121</v>
      </c>
      <c r="M35" s="42" t="s">
        <v>61</v>
      </c>
      <c r="N35" s="42"/>
      <c r="O35" s="43" t="s">
        <v>62</v>
      </c>
      <c r="P35" s="43" t="s">
        <v>106</v>
      </c>
    </row>
    <row r="36" spans="1:16" ht="12.75" customHeight="1" thickBot="1">
      <c r="A36" s="17" t="str">
        <f t="shared" si="0"/>
        <v> MVS 4.175 </v>
      </c>
      <c r="B36" s="6" t="str">
        <f t="shared" si="1"/>
        <v>I</v>
      </c>
      <c r="C36" s="17">
        <f t="shared" si="2"/>
        <v>39180.576000000001</v>
      </c>
      <c r="D36" s="23" t="str">
        <f t="shared" si="3"/>
        <v>vis</v>
      </c>
      <c r="E36" s="40">
        <f>VLOOKUP(C36,Active!C$21:E$973,3,FALSE)</f>
        <v>590.00951244275984</v>
      </c>
      <c r="F36" s="6" t="s">
        <v>56</v>
      </c>
      <c r="G36" s="23" t="str">
        <f t="shared" si="4"/>
        <v>39180.576</v>
      </c>
      <c r="H36" s="17">
        <f t="shared" si="5"/>
        <v>590</v>
      </c>
      <c r="I36" s="41" t="s">
        <v>122</v>
      </c>
      <c r="J36" s="42" t="s">
        <v>123</v>
      </c>
      <c r="K36" s="41">
        <v>590</v>
      </c>
      <c r="L36" s="41" t="s">
        <v>124</v>
      </c>
      <c r="M36" s="42" t="s">
        <v>61</v>
      </c>
      <c r="N36" s="42"/>
      <c r="O36" s="43" t="s">
        <v>62</v>
      </c>
      <c r="P36" s="43" t="s">
        <v>106</v>
      </c>
    </row>
    <row r="37" spans="1:16" ht="12.75" customHeight="1" thickBot="1">
      <c r="A37" s="17" t="str">
        <f t="shared" si="0"/>
        <v> MVS 4.175 </v>
      </c>
      <c r="B37" s="6" t="str">
        <f t="shared" si="1"/>
        <v>I</v>
      </c>
      <c r="C37" s="17">
        <f t="shared" si="2"/>
        <v>39205.601999999999</v>
      </c>
      <c r="D37" s="23" t="str">
        <f t="shared" si="3"/>
        <v>vis</v>
      </c>
      <c r="E37" s="40">
        <f>VLOOKUP(C37,Active!C$21:E$973,3,FALSE)</f>
        <v>595.02021319003984</v>
      </c>
      <c r="F37" s="6" t="s">
        <v>56</v>
      </c>
      <c r="G37" s="23" t="str">
        <f t="shared" si="4"/>
        <v>39205.602</v>
      </c>
      <c r="H37" s="17">
        <f t="shared" si="5"/>
        <v>595</v>
      </c>
      <c r="I37" s="41" t="s">
        <v>125</v>
      </c>
      <c r="J37" s="42" t="s">
        <v>126</v>
      </c>
      <c r="K37" s="41">
        <v>595</v>
      </c>
      <c r="L37" s="41" t="s">
        <v>127</v>
      </c>
      <c r="M37" s="42" t="s">
        <v>61</v>
      </c>
      <c r="N37" s="42"/>
      <c r="O37" s="43" t="s">
        <v>62</v>
      </c>
      <c r="P37" s="43" t="s">
        <v>106</v>
      </c>
    </row>
    <row r="38" spans="1:16" ht="12.75" customHeight="1" thickBot="1">
      <c r="A38" s="17" t="str">
        <f t="shared" si="0"/>
        <v> MVS 4.175 </v>
      </c>
      <c r="B38" s="6" t="str">
        <f t="shared" si="1"/>
        <v>I</v>
      </c>
      <c r="C38" s="17">
        <f t="shared" si="2"/>
        <v>39270.468000000001</v>
      </c>
      <c r="D38" s="23" t="str">
        <f t="shared" si="3"/>
        <v>vis</v>
      </c>
      <c r="E38" s="40">
        <f>VLOOKUP(C38,Active!C$21:E$973,3,FALSE)</f>
        <v>608.00767082102755</v>
      </c>
      <c r="F38" s="6" t="s">
        <v>56</v>
      </c>
      <c r="G38" s="23" t="str">
        <f t="shared" si="4"/>
        <v>39270.468</v>
      </c>
      <c r="H38" s="17">
        <f t="shared" si="5"/>
        <v>608</v>
      </c>
      <c r="I38" s="41" t="s">
        <v>128</v>
      </c>
      <c r="J38" s="42" t="s">
        <v>129</v>
      </c>
      <c r="K38" s="41">
        <v>608</v>
      </c>
      <c r="L38" s="41" t="s">
        <v>130</v>
      </c>
      <c r="M38" s="42" t="s">
        <v>61</v>
      </c>
      <c r="N38" s="42"/>
      <c r="O38" s="43" t="s">
        <v>62</v>
      </c>
      <c r="P38" s="43" t="s">
        <v>106</v>
      </c>
    </row>
    <row r="39" spans="1:16" ht="12.75" customHeight="1" thickBot="1">
      <c r="A39" s="17" t="str">
        <f t="shared" si="0"/>
        <v> MVS 4.175 </v>
      </c>
      <c r="B39" s="6" t="str">
        <f t="shared" si="1"/>
        <v>I</v>
      </c>
      <c r="C39" s="17">
        <f t="shared" si="2"/>
        <v>39330.444000000003</v>
      </c>
      <c r="D39" s="23" t="str">
        <f t="shared" si="3"/>
        <v>vis</v>
      </c>
      <c r="E39" s="40">
        <f>VLOOKUP(C39,Active!C$21:E$973,3,FALSE)</f>
        <v>620.01605362366865</v>
      </c>
      <c r="F39" s="6" t="s">
        <v>56</v>
      </c>
      <c r="G39" s="23" t="str">
        <f t="shared" si="4"/>
        <v>39330.444</v>
      </c>
      <c r="H39" s="17">
        <f t="shared" si="5"/>
        <v>620</v>
      </c>
      <c r="I39" s="41" t="s">
        <v>131</v>
      </c>
      <c r="J39" s="42" t="s">
        <v>132</v>
      </c>
      <c r="K39" s="41">
        <v>620</v>
      </c>
      <c r="L39" s="41" t="s">
        <v>133</v>
      </c>
      <c r="M39" s="42" t="s">
        <v>61</v>
      </c>
      <c r="N39" s="42"/>
      <c r="O39" s="43" t="s">
        <v>62</v>
      </c>
      <c r="P39" s="43" t="s">
        <v>106</v>
      </c>
    </row>
    <row r="40" spans="1:16" ht="12.75" customHeight="1" thickBot="1">
      <c r="A40" s="17" t="str">
        <f t="shared" si="0"/>
        <v> MVS 4.175 </v>
      </c>
      <c r="B40" s="6" t="str">
        <f t="shared" si="1"/>
        <v>I</v>
      </c>
      <c r="C40" s="17">
        <f t="shared" si="2"/>
        <v>39355.398000000001</v>
      </c>
      <c r="D40" s="23" t="str">
        <f t="shared" si="3"/>
        <v>vis</v>
      </c>
      <c r="E40" s="40">
        <f>VLOOKUP(C40,Active!C$21:E$973,3,FALSE)</f>
        <v>625.01233854525526</v>
      </c>
      <c r="F40" s="6" t="s">
        <v>56</v>
      </c>
      <c r="G40" s="23" t="str">
        <f t="shared" si="4"/>
        <v>39355.398</v>
      </c>
      <c r="H40" s="17">
        <f t="shared" si="5"/>
        <v>625</v>
      </c>
      <c r="I40" s="41" t="s">
        <v>134</v>
      </c>
      <c r="J40" s="42" t="s">
        <v>135</v>
      </c>
      <c r="K40" s="41">
        <v>625</v>
      </c>
      <c r="L40" s="41" t="s">
        <v>136</v>
      </c>
      <c r="M40" s="42" t="s">
        <v>61</v>
      </c>
      <c r="N40" s="42"/>
      <c r="O40" s="43" t="s">
        <v>62</v>
      </c>
      <c r="P40" s="43" t="s">
        <v>106</v>
      </c>
    </row>
    <row r="41" spans="1:16" ht="12.75" customHeight="1" thickBot="1">
      <c r="A41" s="17" t="str">
        <f t="shared" si="0"/>
        <v> MVS 4.175 </v>
      </c>
      <c r="B41" s="6" t="str">
        <f t="shared" si="1"/>
        <v>I</v>
      </c>
      <c r="C41" s="17">
        <f t="shared" si="2"/>
        <v>39380.370999999999</v>
      </c>
      <c r="D41" s="23" t="str">
        <f t="shared" si="3"/>
        <v>vis</v>
      </c>
      <c r="E41" s="40">
        <f>VLOOKUP(C41,Active!C$21:E$973,3,FALSE)</f>
        <v>630.01242764306642</v>
      </c>
      <c r="F41" s="6" t="s">
        <v>56</v>
      </c>
      <c r="G41" s="23" t="str">
        <f t="shared" si="4"/>
        <v>39380.371</v>
      </c>
      <c r="H41" s="17">
        <f t="shared" si="5"/>
        <v>630</v>
      </c>
      <c r="I41" s="41" t="s">
        <v>137</v>
      </c>
      <c r="J41" s="42" t="s">
        <v>138</v>
      </c>
      <c r="K41" s="41">
        <v>630</v>
      </c>
      <c r="L41" s="41" t="s">
        <v>136</v>
      </c>
      <c r="M41" s="42" t="s">
        <v>61</v>
      </c>
      <c r="N41" s="42"/>
      <c r="O41" s="43" t="s">
        <v>62</v>
      </c>
      <c r="P41" s="43" t="s">
        <v>106</v>
      </c>
    </row>
    <row r="42" spans="1:16" ht="12.75" customHeight="1" thickBot="1">
      <c r="A42" s="17" t="str">
        <f t="shared" si="0"/>
        <v> MVS 4.175 </v>
      </c>
      <c r="B42" s="6" t="str">
        <f t="shared" si="1"/>
        <v>I</v>
      </c>
      <c r="C42" s="17">
        <f t="shared" si="2"/>
        <v>39385.351000000002</v>
      </c>
      <c r="D42" s="23" t="str">
        <f t="shared" si="3"/>
        <v>vis</v>
      </c>
      <c r="E42" s="40">
        <f>VLOOKUP(C42,Active!C$21:E$973,3,FALSE)</f>
        <v>631.00952225353046</v>
      </c>
      <c r="F42" s="6" t="s">
        <v>56</v>
      </c>
      <c r="G42" s="23" t="str">
        <f t="shared" si="4"/>
        <v>39385.351</v>
      </c>
      <c r="H42" s="17">
        <f t="shared" si="5"/>
        <v>631</v>
      </c>
      <c r="I42" s="41" t="s">
        <v>139</v>
      </c>
      <c r="J42" s="42" t="s">
        <v>140</v>
      </c>
      <c r="K42" s="41">
        <v>631</v>
      </c>
      <c r="L42" s="41" t="s">
        <v>124</v>
      </c>
      <c r="M42" s="42" t="s">
        <v>61</v>
      </c>
      <c r="N42" s="42"/>
      <c r="O42" s="43" t="s">
        <v>62</v>
      </c>
      <c r="P42" s="43" t="s">
        <v>106</v>
      </c>
    </row>
    <row r="43" spans="1:16" ht="12.75" customHeight="1" thickBot="1">
      <c r="A43" s="17" t="str">
        <f t="shared" si="0"/>
        <v> MVS 4.175 </v>
      </c>
      <c r="B43" s="6" t="str">
        <f t="shared" si="1"/>
        <v>I</v>
      </c>
      <c r="C43" s="17">
        <f t="shared" si="2"/>
        <v>39390.39</v>
      </c>
      <c r="D43" s="23" t="str">
        <f t="shared" si="3"/>
        <v>vis</v>
      </c>
      <c r="E43" s="40">
        <f>VLOOKUP(C43,Active!C$21:E$973,3,FALSE)</f>
        <v>632.01842983226982</v>
      </c>
      <c r="F43" s="6" t="s">
        <v>56</v>
      </c>
      <c r="G43" s="23" t="str">
        <f t="shared" si="4"/>
        <v>39390.390</v>
      </c>
      <c r="H43" s="17">
        <f t="shared" si="5"/>
        <v>632</v>
      </c>
      <c r="I43" s="41" t="s">
        <v>141</v>
      </c>
      <c r="J43" s="42" t="s">
        <v>142</v>
      </c>
      <c r="K43" s="41">
        <v>632</v>
      </c>
      <c r="L43" s="41" t="s">
        <v>143</v>
      </c>
      <c r="M43" s="42" t="s">
        <v>61</v>
      </c>
      <c r="N43" s="42"/>
      <c r="O43" s="43" t="s">
        <v>62</v>
      </c>
      <c r="P43" s="43" t="s">
        <v>106</v>
      </c>
    </row>
    <row r="44" spans="1:16" ht="12.75" customHeight="1" thickBot="1">
      <c r="A44" s="17" t="str">
        <f t="shared" si="0"/>
        <v> BBS 127 </v>
      </c>
      <c r="B44" s="6" t="str">
        <f t="shared" si="1"/>
        <v>I</v>
      </c>
      <c r="C44" s="17">
        <f t="shared" si="2"/>
        <v>52041.432000000001</v>
      </c>
      <c r="D44" s="23" t="str">
        <f t="shared" si="3"/>
        <v>vis</v>
      </c>
      <c r="E44" s="40">
        <f>VLOOKUP(C44,Active!C$21:E$973,3,FALSE)</f>
        <v>3165.007545283212</v>
      </c>
      <c r="F44" s="6" t="s">
        <v>56</v>
      </c>
      <c r="G44" s="23" t="str">
        <f t="shared" si="4"/>
        <v>52041.432</v>
      </c>
      <c r="H44" s="17">
        <f t="shared" si="5"/>
        <v>3165</v>
      </c>
      <c r="I44" s="41" t="s">
        <v>158</v>
      </c>
      <c r="J44" s="42" t="s">
        <v>159</v>
      </c>
      <c r="K44" s="41">
        <v>3165</v>
      </c>
      <c r="L44" s="41" t="s">
        <v>130</v>
      </c>
      <c r="M44" s="42" t="s">
        <v>147</v>
      </c>
      <c r="N44" s="42"/>
      <c r="O44" s="43" t="s">
        <v>160</v>
      </c>
      <c r="P44" s="43" t="s">
        <v>161</v>
      </c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</sheetData>
  <phoneticPr fontId="7" type="noConversion"/>
  <hyperlinks>
    <hyperlink ref="P14" r:id="rId1" display="http://www.konkoly.hu/cgi-bin/IBVS?5713" xr:uid="{00000000-0004-0000-0100-000000000000}"/>
    <hyperlink ref="P15" r:id="rId2" display="http://www.bav-astro.de/sfs/BAVM_link.php?BAVMnr=238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2024-08-05T01:33:30Z</dcterms:modified>
</cp:coreProperties>
</file>