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C805F0-449C-42A6-940D-D6ECAD12EA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5" i="1"/>
  <c r="F25" i="1" s="1"/>
  <c r="G25" i="1" s="1"/>
  <c r="K25" i="1" s="1"/>
  <c r="Q25" i="1"/>
  <c r="F23" i="1"/>
  <c r="G23" i="1"/>
  <c r="K23" i="1"/>
  <c r="E23" i="1"/>
  <c r="E24" i="1"/>
  <c r="F24" i="1"/>
  <c r="G24" i="1"/>
  <c r="K24" i="1"/>
  <c r="D9" i="1"/>
  <c r="C9" i="1"/>
  <c r="C21" i="1"/>
  <c r="E21" i="1"/>
  <c r="F21" i="1"/>
  <c r="G21" i="1"/>
  <c r="I21" i="1"/>
  <c r="E22" i="1"/>
  <c r="F22" i="1"/>
  <c r="G22" i="1"/>
  <c r="K22" i="1"/>
  <c r="Q23" i="1"/>
  <c r="Q24" i="1"/>
  <c r="Q22" i="1"/>
  <c r="C17" i="1"/>
  <c r="Q21" i="1"/>
  <c r="C12" i="1"/>
  <c r="C11" i="1"/>
  <c r="O25" i="1" l="1"/>
  <c r="O24" i="1"/>
  <c r="O23" i="1"/>
  <c r="O22" i="1"/>
  <c r="O21" i="1"/>
  <c r="C15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<sst xmlns="http://schemas.openxmlformats.org/spreadsheetml/2006/main" count="60" uniqueCount="53">
  <si>
    <t>PE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</si>
  <si>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</si>
  <si>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</si>
  <si>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</si>
  <si>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</si>
  <si>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</si>
  <si>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</si>
  <si>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</si>
  <si>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</si>
  <si>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</si>
  <si>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</si>
  <si>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</si>
  <si>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</si>
  <si>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</si>
  <si>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</si>
  <si>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</si>
  <si>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</si>
  <si>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</si>
  <si>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</si>
  <si>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</si>
  <si>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</si>
  <si>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</si>
  <si>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</si>
  <si>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</si>
  <si>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</si>
  <si>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</si>
  <si>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</si>
  <si>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</si>
  <si>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</si>
  <si>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</si>
  <si>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</si>
  <si>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</si>
  <si>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</si>
  <si>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</si>
  <si>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</si>
  <si>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</si>
  <si>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</si>
  <si>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</si>
  <si>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</si>
  <si>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</si>
  <si>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</si>
  <si>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</si>
  <si>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PQ Dra / GSC 3862-1007</t>
  </si>
  <si>
    <t>IBVS 6029</t>
  </si>
  <si>
    <t>I</t>
  </si>
  <si>
    <t>EB</t>
  </si>
  <si>
    <t>vis</t>
  </si>
  <si>
    <t>OEJV 0179</t>
  </si>
  <si>
    <t>JBAV, 76</t>
  </si>
  <si>
    <t>Next ToM-P</t>
  </si>
  <si>
    <t>Next ToM-S</t>
  </si>
  <si>
    <t>13.90-14.50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</si>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</sst>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8" fillId="24" borderId="0" xfId="0" applyFont="1" applyFill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0" fontId="33" fillId="0" borderId="13" xfId="0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21" fillId="25" borderId="11" xfId="0" applyFont="1" applyFill="1" applyBorder="1" applyAlignment="1">
      <alignment horizontal="right" vertical="center"/>
    </xf>
    <xf numFmtId="0" fontId="21" fillId="25" borderId="12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PQ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52-4DE4-9747-95ED0CC63E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52-4DE4-9747-95ED0CC63E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52-4DE4-9747-95ED0CC63E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-8.2376000005751848E-2</c:v>
                </c:pt>
                <c:pt idx="2">
                  <c:v>-9.5382000006793533E-2</c:v>
                </c:pt>
                <c:pt idx="3">
                  <c:v>-9.7945500005153008E-2</c:v>
                </c:pt>
                <c:pt idx="4">
                  <c:v>-0.13104050000401912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52-4DE4-9747-95ED0CC63E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52-4DE4-9747-95ED0CC63E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52-4DE4-9747-95ED0CC63E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1.9E-3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52-4DE4-9747-95ED0CC63E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-9.8270270005294535E-3</c:v>
                </c:pt>
                <c:pt idx="1">
                  <c:v>-8.0186883626062966E-2</c:v>
                </c:pt>
                <c:pt idx="2">
                  <c:v>-9.8392154690748482E-2</c:v>
                </c:pt>
                <c:pt idx="3">
                  <c:v>-9.8394596384829044E-2</c:v>
                </c:pt>
                <c:pt idx="4">
                  <c:v>-0.12977036532007702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52-4DE4-9747-95ED0CC63E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14408</c:v>
                </c:pt>
                <c:pt idx="2">
                  <c:v>18136</c:v>
                </c:pt>
                <c:pt idx="3">
                  <c:v>18136.5</c:v>
                </c:pt>
                <c:pt idx="4">
                  <c:v>24561.5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52-4DE4-9747-95ED0CC6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692288"/>
        <c:axId val="1"/>
      </c:scatterChart>
      <c:valAx>
        <c:axId val="797692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692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A0EA144-5EB5-4D76-35AC-C7AC36A1D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4" sqref="F3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ht="12.95" customHeight="1" x14ac:dyDescent="0.2">
      <c r="A2" t="s">
        <v>27</v>
      </c>
      <c r="B2" t="s">
        <v>45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4</v>
      </c>
      <c r="C4" s="26" t="s">
        <v>40</v>
      </c>
      <c r="D4" s="27" t="s">
        <v>40</v>
      </c>
    </row>
    <row r="5" spans="1:6" ht="12.95" customHeight="1" thickTop="1" x14ac:dyDescent="0.2">
      <c r="A5" s="9" t="s">
        <v>32</v>
      </c>
      <c r="B5" s="10"/>
      <c r="C5" s="11">
        <v>-9.5</v>
      </c>
      <c r="D5" s="10" t="s">
        <v>33</v>
      </c>
    </row>
    <row r="6" spans="1:6" ht="12.95" customHeight="1" x14ac:dyDescent="0.2">
      <c r="A6" s="5" t="s">
        <v>5</v>
      </c>
    </row>
    <row r="7" spans="1:6" ht="12.95" customHeight="1" x14ac:dyDescent="0.2">
      <c r="A7" t="s">
        <v>6</v>
      </c>
      <c r="C7" s="38">
        <v>51393.779000000002</v>
      </c>
      <c r="D7" s="28" t="s">
        <v>41</v>
      </c>
    </row>
    <row r="8" spans="1:6" ht="12.95" customHeight="1" x14ac:dyDescent="0.2">
      <c r="A8" t="s">
        <v>7</v>
      </c>
      <c r="C8" s="38">
        <v>0.32094699999999998</v>
      </c>
      <c r="D8" s="28" t="s">
        <v>41</v>
      </c>
    </row>
    <row r="9" spans="1:6" ht="12.95" customHeight="1" x14ac:dyDescent="0.2">
      <c r="A9" s="23" t="s">
        <v>35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6" ht="12.95" customHeight="1" x14ac:dyDescent="0.2">
      <c r="A11" s="10" t="s">
        <v>19</v>
      </c>
      <c r="B11" s="10"/>
      <c r="C11" s="20">
        <f ca="1">INTERCEPT(INDIRECT($D$9):G992,INDIRECT($C$9):F992)</f>
        <v>-9.8270270005294535E-3</v>
      </c>
      <c r="D11" s="3"/>
      <c r="E11" s="10"/>
    </row>
    <row r="12" spans="1:6" ht="12.95" customHeight="1" x14ac:dyDescent="0.2">
      <c r="A12" s="10" t="s">
        <v>20</v>
      </c>
      <c r="B12" s="10"/>
      <c r="C12" s="20">
        <f ca="1">SLOPE(INDIRECT($D$9):G992,INDIRECT($C$9):F992)</f>
        <v>-4.8833881611280894E-6</v>
      </c>
      <c r="D12" s="3"/>
      <c r="E12" s="41" t="s">
        <v>52</v>
      </c>
      <c r="F12" s="42" t="s">
        <v>51</v>
      </c>
    </row>
    <row r="13" spans="1:6" ht="12.95" customHeight="1" x14ac:dyDescent="0.2">
      <c r="A13" s="10" t="s">
        <v>22</v>
      </c>
      <c r="B13" s="10"/>
      <c r="C13" s="3" t="s">
        <v>17</v>
      </c>
      <c r="E13" s="39" t="s">
        <v>37</v>
      </c>
      <c r="F13" s="43">
        <v>1</v>
      </c>
    </row>
    <row r="14" spans="1:6" ht="12.95" customHeight="1" x14ac:dyDescent="0.2">
      <c r="A14" s="10"/>
      <c r="B14" s="10"/>
      <c r="C14" s="10"/>
      <c r="E14" s="39" t="s">
        <v>34</v>
      </c>
      <c r="F14" s="44">
        <f ca="1">NOW()+15018.5+$C$5/24</f>
        <v>60532.782990393513</v>
      </c>
    </row>
    <row r="15" spans="1:6" ht="12.95" customHeight="1" x14ac:dyDescent="0.2">
      <c r="A15" s="12" t="s">
        <v>21</v>
      </c>
      <c r="B15" s="10"/>
      <c r="C15" s="13">
        <f ca="1">(C7+C11)+(C8+C12)*INT(MAX(F21:F3533))</f>
        <v>59276.42849907637</v>
      </c>
      <c r="E15" s="39" t="s">
        <v>38</v>
      </c>
      <c r="F15" s="44">
        <f ca="1">ROUND(2*($F$14-$C$7)/$C$8,0)/2+$F$13</f>
        <v>28476</v>
      </c>
    </row>
    <row r="16" spans="1:6" ht="12.95" customHeight="1" x14ac:dyDescent="0.2">
      <c r="A16" s="15" t="s">
        <v>8</v>
      </c>
      <c r="B16" s="10"/>
      <c r="C16" s="16">
        <f ca="1">+C8+C12</f>
        <v>0.32094211661183886</v>
      </c>
      <c r="E16" s="39" t="s">
        <v>39</v>
      </c>
      <c r="F16" s="44">
        <f ca="1">ROUND(2*($F$14-$C$15)/$C$16,0)/2+$F$13</f>
        <v>3915.5</v>
      </c>
    </row>
    <row r="17" spans="1:21" ht="12.95" customHeight="1" thickBot="1" x14ac:dyDescent="0.25">
      <c r="A17" s="14" t="s">
        <v>31</v>
      </c>
      <c r="B17" s="10"/>
      <c r="C17" s="10">
        <f>COUNT(C21:C2191)</f>
        <v>5</v>
      </c>
      <c r="E17" s="39" t="s">
        <v>49</v>
      </c>
      <c r="F17" s="45">
        <f ca="1">+$C$15+$C$16*$F$16-15018.5-$C$5/24</f>
        <v>45514.973190003358</v>
      </c>
    </row>
    <row r="18" spans="1:21" ht="12.95" customHeight="1" thickTop="1" thickBot="1" x14ac:dyDescent="0.25">
      <c r="A18" s="15" t="s">
        <v>9</v>
      </c>
      <c r="B18" s="10"/>
      <c r="C18" s="18">
        <f ca="1">+C15</f>
        <v>59276.42849907637</v>
      </c>
      <c r="D18" s="19">
        <f ca="1">+C16</f>
        <v>0.32094211661183886</v>
      </c>
      <c r="E18" s="40" t="s">
        <v>50</v>
      </c>
      <c r="F18" s="46">
        <f ca="1">+($C$15+$C$16*$F$16)-($C$16/2)-15018.5-$C$5/24</f>
        <v>45514.812718945053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46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5" t="s">
        <v>36</v>
      </c>
    </row>
    <row r="21" spans="1:21" ht="12.95" customHeight="1" x14ac:dyDescent="0.2">
      <c r="A21" t="s">
        <v>41</v>
      </c>
      <c r="C21" s="8">
        <f>C7</f>
        <v>51393.779000000002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-9.8270270005294535E-3</v>
      </c>
      <c r="Q21" s="2">
        <f>+C21-15018.5</f>
        <v>36375.279000000002</v>
      </c>
    </row>
    <row r="22" spans="1:21" ht="12.95" customHeight="1" x14ac:dyDescent="0.2">
      <c r="A22" s="29" t="s">
        <v>43</v>
      </c>
      <c r="B22" s="30" t="s">
        <v>44</v>
      </c>
      <c r="C22" s="29">
        <v>56017.900999999998</v>
      </c>
      <c r="D22" s="29">
        <v>4.0000000000000002E-4</v>
      </c>
      <c r="E22">
        <f>+(C22-C$7)/C$8</f>
        <v>14407.743334569246</v>
      </c>
      <c r="F22" s="34">
        <f>ROUND(2*E22,0)/2+0.5</f>
        <v>14408</v>
      </c>
      <c r="G22">
        <f>+C22-(C$7+F22*C$8)</f>
        <v>-8.2376000005751848E-2</v>
      </c>
      <c r="K22">
        <f>+G22</f>
        <v>-8.2376000005751848E-2</v>
      </c>
      <c r="O22">
        <f ca="1">+C$11+C$12*$F22</f>
        <v>-8.0186883626062966E-2</v>
      </c>
      <c r="Q22" s="2">
        <f>+C22-15018.5</f>
        <v>40999.400999999998</v>
      </c>
    </row>
    <row r="23" spans="1:21" ht="12.95" customHeight="1" x14ac:dyDescent="0.2">
      <c r="A23" s="31" t="s">
        <v>47</v>
      </c>
      <c r="B23" s="32" t="s">
        <v>44</v>
      </c>
      <c r="C23" s="33">
        <v>57214.378409999998</v>
      </c>
      <c r="D23" s="33">
        <v>2.0000000000000001E-4</v>
      </c>
      <c r="E23">
        <f>+(C23-C$7)/C$8</f>
        <v>18135.702810744438</v>
      </c>
      <c r="F23" s="34">
        <f>ROUND(2*E23,0)/2+0.5</f>
        <v>18136</v>
      </c>
      <c r="G23">
        <f>+C23-(C$7+F23*C$8)</f>
        <v>-9.5382000006793533E-2</v>
      </c>
      <c r="K23">
        <f>+G23</f>
        <v>-9.5382000006793533E-2</v>
      </c>
      <c r="O23">
        <f ca="1">+C$11+C$12*$F23</f>
        <v>-9.8392154690748482E-2</v>
      </c>
      <c r="Q23" s="2">
        <f>+C23-15018.5</f>
        <v>42195.878409999998</v>
      </c>
    </row>
    <row r="24" spans="1:21" ht="12.95" customHeight="1" x14ac:dyDescent="0.2">
      <c r="A24" s="31" t="s">
        <v>47</v>
      </c>
      <c r="B24" s="32" t="s">
        <v>1</v>
      </c>
      <c r="C24" s="33">
        <v>57214.536319999999</v>
      </c>
      <c r="D24" s="33">
        <v>1.9E-3</v>
      </c>
      <c r="E24">
        <f>+(C24-C$7)/C$8</f>
        <v>18136.194823444363</v>
      </c>
      <c r="F24" s="34">
        <f>ROUND(2*E24,0)/2+0.5</f>
        <v>18136.5</v>
      </c>
      <c r="G24">
        <f>+C24-(C$7+F24*C$8)</f>
        <v>-9.7945500005153008E-2</v>
      </c>
      <c r="K24">
        <f>+G24</f>
        <v>-9.7945500005153008E-2</v>
      </c>
      <c r="O24">
        <f ca="1">+C$11+C$12*$F24</f>
        <v>-9.8394596384829044E-2</v>
      </c>
      <c r="Q24" s="2">
        <f>+C24-15018.5</f>
        <v>42196.036319999999</v>
      </c>
    </row>
    <row r="25" spans="1:21" ht="12.95" customHeight="1" x14ac:dyDescent="0.2">
      <c r="A25" s="35" t="s">
        <v>48</v>
      </c>
      <c r="B25" s="36" t="s">
        <v>44</v>
      </c>
      <c r="C25" s="37">
        <v>59276.587699999996</v>
      </c>
      <c r="D25" s="35">
        <v>2.9999999999999997E-4</v>
      </c>
      <c r="E25">
        <f>+(C25-C$7)/C$8</f>
        <v>24561.091706730378</v>
      </c>
      <c r="F25" s="22">
        <f>ROUND(2*E25,0)/2+0.5</f>
        <v>24561.5</v>
      </c>
      <c r="G25">
        <f>+C25-(C$7+F25*C$8)</f>
        <v>-0.13104050000401912</v>
      </c>
      <c r="K25">
        <f>+G25</f>
        <v>-0.13104050000401912</v>
      </c>
      <c r="O25">
        <f ca="1">+C$11+C$12*$F25</f>
        <v>-0.12977036532007702</v>
      </c>
      <c r="Q25" s="2">
        <f>+C25-15018.5</f>
        <v>44258.087699999996</v>
      </c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2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2024-08-10T06:47:30Z</dcterms:modified>
</cp:coreProperties>
</file>