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7546CB3-EC86-4AD1-8920-6782B80EE8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Q22" i="1"/>
  <c r="Q23" i="1"/>
  <c r="Q24" i="1"/>
  <c r="E23" i="1"/>
  <c r="F23" i="1" s="1"/>
  <c r="G23" i="1" s="1"/>
  <c r="K23" i="1" s="1"/>
  <c r="C9" i="1"/>
  <c r="D9" i="1"/>
  <c r="C17" i="1"/>
  <c r="Q21" i="1"/>
  <c r="E22" i="1"/>
  <c r="F22" i="1"/>
  <c r="G22" i="1" s="1"/>
  <c r="K22" i="1" s="1"/>
  <c r="E24" i="1"/>
  <c r="F24" i="1" s="1"/>
  <c r="G24" i="1" s="1"/>
  <c r="K24" i="1" s="1"/>
  <c r="E21" i="1"/>
  <c r="F21" i="1"/>
  <c r="G21" i="1" s="1"/>
  <c r="I21" i="1" s="1"/>
  <c r="C11" i="1"/>
  <c r="C12" i="1"/>
  <c r="F15" i="1" l="1"/>
  <c r="C16" i="1"/>
  <c r="D18" i="1" s="1"/>
  <c r="O22" i="1"/>
  <c r="O24" i="1"/>
  <c r="O21" i="1"/>
  <c r="C15" i="1"/>
  <c r="O23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<sst xmlns="http://schemas.openxmlformats.org/spreadsheetml/2006/main" count="63" uniqueCount="56">
  <si>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</si>
  <si>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</si>
  <si>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</si>
  <si>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</si>
  <si>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</si>
  <si>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</si>
  <si>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</si>
  <si>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</si>
  <si>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</si>
  <si>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</si>
  <si>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</si>
  <si>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</si>
  <si>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</si>
  <si>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</si>
  <si>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</si>
  <si>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</si>
  <si>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</si>
  <si>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</si>
  <si>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</si>
  <si>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</si>
  <si>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</si>
  <si>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</si>
  <si>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</si>
  <si>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</si>
  <si>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</si>
  <si>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</si>
  <si>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</si>
  <si>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</si>
  <si>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</si>
  <si>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</si>
  <si>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</si>
  <si>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</si>
  <si>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</si>
  <si>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</si>
  <si>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</si>
  <si>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</si>
  <si>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</si>
  <si>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</si>
  <si>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</si>
  <si>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</si>
  <si>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 xml:space="preserve">V0345 Dra  </t>
  </si>
  <si>
    <t>2017K</t>
  </si>
  <si>
    <t>G3497-1775</t>
  </si>
  <si>
    <t xml:space="preserve">EW        </t>
  </si>
  <si>
    <t>pr_6</t>
  </si>
  <si>
    <t xml:space="preserve">           </t>
  </si>
  <si>
    <t>GCVS</t>
  </si>
  <si>
    <t>V0345 Dra / GSC 3497-1775</t>
  </si>
  <si>
    <t>I</t>
  </si>
  <si>
    <t>OEJV 0179</t>
  </si>
  <si>
    <t>II</t>
  </si>
  <si>
    <t>Next ToM-P</t>
  </si>
  <si>
    <t>Next ToM-S</t>
  </si>
  <si>
    <t>13.29 (0.29)</t>
  </si>
  <si>
    <t xml:space="preserve">Mag CV 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</si>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</sst>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6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15" fillId="25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25" borderId="1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0" fillId="0" borderId="0" xfId="0" applyAlignment="1">
      <alignment horizontal="right"/>
    </xf>
    <xf numFmtId="0" fontId="33" fillId="0" borderId="14" xfId="0" applyFont="1" applyBorder="1" applyAlignment="1">
      <alignment horizontal="right" vertical="center"/>
    </xf>
    <xf numFmtId="0" fontId="33" fillId="0" borderId="17" xfId="0" applyFont="1" applyBorder="1" applyAlignment="1">
      <alignment horizontal="right" vertical="center"/>
    </xf>
    <xf numFmtId="0" fontId="33" fillId="0" borderId="0" xfId="0" applyFont="1">
      <alignment vertical="top"/>
    </xf>
    <xf numFmtId="0" fontId="16" fillId="26" borderId="12" xfId="0" applyFont="1" applyFill="1" applyBorder="1" applyAlignment="1">
      <alignment horizontal="right" vertical="center"/>
    </xf>
    <xf numFmtId="0" fontId="16" fillId="26" borderId="13" xfId="0" applyFont="1" applyFill="1" applyBorder="1" applyAlignment="1">
      <alignment horizontal="center" vertical="center"/>
    </xf>
    <xf numFmtId="0" fontId="34" fillId="0" borderId="15" xfId="0" applyFont="1" applyBorder="1" applyAlignment="1">
      <alignment horizontal="right" vertical="center"/>
    </xf>
    <xf numFmtId="0" fontId="35" fillId="0" borderId="15" xfId="0" applyFont="1" applyBorder="1" applyAlignment="1">
      <alignment horizontal="right" vertical="center"/>
    </xf>
    <xf numFmtId="22" fontId="35" fillId="0" borderId="15" xfId="0" applyNumberFormat="1" applyFont="1" applyBorder="1" applyAlignment="1">
      <alignment horizontal="right" vertical="center"/>
    </xf>
    <xf numFmtId="22" fontId="35" fillId="0" borderId="16" xfId="0" applyNumberFormat="1" applyFont="1" applyBorder="1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V0345 Dra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19731</c:v>
                </c:pt>
                <c:pt idx="2">
                  <c:v>21241.5</c:v>
                </c:pt>
                <c:pt idx="3">
                  <c:v>21242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E1-4E49-B099-2575B4C510A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19731</c:v>
                </c:pt>
                <c:pt idx="2">
                  <c:v>21241.5</c:v>
                </c:pt>
                <c:pt idx="3">
                  <c:v>21242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E1-4E49-B099-2575B4C510A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19731</c:v>
                </c:pt>
                <c:pt idx="2">
                  <c:v>21241.5</c:v>
                </c:pt>
                <c:pt idx="3">
                  <c:v>21242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BE1-4E49-B099-2575B4C510A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19731</c:v>
                </c:pt>
                <c:pt idx="2">
                  <c:v>21241.5</c:v>
                </c:pt>
                <c:pt idx="3">
                  <c:v>21242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1.7761099996278062E-2</c:v>
                </c:pt>
                <c:pt idx="2">
                  <c:v>2.2641150004346855E-2</c:v>
                </c:pt>
                <c:pt idx="3">
                  <c:v>2.2670199999993201E-2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BE1-4E49-B099-2575B4C510A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19731</c:v>
                </c:pt>
                <c:pt idx="2">
                  <c:v>21241.5</c:v>
                </c:pt>
                <c:pt idx="3">
                  <c:v>21242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BE1-4E49-B099-2575B4C510A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19731</c:v>
                </c:pt>
                <c:pt idx="2">
                  <c:v>21241.5</c:v>
                </c:pt>
                <c:pt idx="3">
                  <c:v>21242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BE1-4E49-B099-2575B4C510A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19731</c:v>
                </c:pt>
                <c:pt idx="2">
                  <c:v>21241.5</c:v>
                </c:pt>
                <c:pt idx="3">
                  <c:v>21242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BE1-4E49-B099-2575B4C510A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19731</c:v>
                </c:pt>
                <c:pt idx="2">
                  <c:v>21241.5</c:v>
                </c:pt>
                <c:pt idx="3">
                  <c:v>21242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-1.6256003755114184E-4</c:v>
                </c:pt>
                <c:pt idx="1">
                  <c:v>2.0046754501115607E-2</c:v>
                </c:pt>
                <c:pt idx="2">
                  <c:v>2.1593871708082114E-2</c:v>
                </c:pt>
                <c:pt idx="3">
                  <c:v>2.1594383828971542E-2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BE1-4E49-B099-2575B4C510A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19731</c:v>
                </c:pt>
                <c:pt idx="2">
                  <c:v>21241.5</c:v>
                </c:pt>
                <c:pt idx="3">
                  <c:v>21242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BE1-4E49-B099-2575B4C51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0887344"/>
        <c:axId val="1"/>
      </c:scatterChart>
      <c:valAx>
        <c:axId val="760887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08873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C453378-27DC-67D7-7294-9525C83F07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57031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4" t="s">
        <v>40</v>
      </c>
      <c r="G1" s="29" t="s">
        <v>41</v>
      </c>
      <c r="H1" s="35"/>
      <c r="I1" s="36" t="s">
        <v>42</v>
      </c>
      <c r="J1" s="37" t="s">
        <v>40</v>
      </c>
      <c r="K1" s="38">
        <v>16.0047</v>
      </c>
      <c r="L1" s="31">
        <v>51.164850000000001</v>
      </c>
      <c r="M1" s="32">
        <v>51389.932999999997</v>
      </c>
      <c r="N1" s="32">
        <v>0.29189999999999999</v>
      </c>
      <c r="O1" s="30" t="s">
        <v>43</v>
      </c>
      <c r="P1" s="31">
        <v>13.2</v>
      </c>
      <c r="Q1" s="31">
        <v>13.45</v>
      </c>
      <c r="R1" s="39" t="s">
        <v>44</v>
      </c>
      <c r="S1" s="30" t="s">
        <v>45</v>
      </c>
    </row>
    <row r="2" spans="1:19" ht="12.95" customHeight="1" x14ac:dyDescent="0.2">
      <c r="A2" t="s">
        <v>23</v>
      </c>
      <c r="B2" t="s">
        <v>43</v>
      </c>
      <c r="C2" s="28"/>
      <c r="D2" s="3"/>
    </row>
    <row r="3" spans="1:19" ht="12.95" customHeight="1" thickBot="1" x14ac:dyDescent="0.25"/>
    <row r="4" spans="1:19" ht="12.95" customHeight="1" thickTop="1" thickBot="1" x14ac:dyDescent="0.25">
      <c r="A4" s="5" t="s">
        <v>0</v>
      </c>
      <c r="C4" s="25">
        <v>51389.932999999997</v>
      </c>
      <c r="D4" s="26">
        <v>0.29189999999999999</v>
      </c>
    </row>
    <row r="5" spans="1:19" ht="12.95" customHeight="1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ht="12.95" customHeight="1" x14ac:dyDescent="0.2">
      <c r="A6" s="5" t="s">
        <v>1</v>
      </c>
    </row>
    <row r="7" spans="1:19" ht="12.95" customHeight="1" x14ac:dyDescent="0.2">
      <c r="A7" t="s">
        <v>2</v>
      </c>
      <c r="C7" s="43">
        <v>51389.932999999997</v>
      </c>
      <c r="D7" s="27" t="s">
        <v>55</v>
      </c>
    </row>
    <row r="8" spans="1:19" ht="12.95" customHeight="1" x14ac:dyDescent="0.2">
      <c r="A8" t="s">
        <v>3</v>
      </c>
      <c r="C8" s="43">
        <v>0.29190189999999999</v>
      </c>
      <c r="D8" s="27" t="s">
        <v>55</v>
      </c>
    </row>
    <row r="9" spans="1:19" ht="12.95" customHeight="1" x14ac:dyDescent="0.2">
      <c r="A9" s="23" t="s">
        <v>31</v>
      </c>
      <c r="B9" s="33">
        <v>21</v>
      </c>
      <c r="C9" s="21" t="str">
        <f>"F"&amp;B9</f>
        <v>F21</v>
      </c>
      <c r="D9" s="22" t="str">
        <f>"G"&amp;B9</f>
        <v>G21</v>
      </c>
    </row>
    <row r="10" spans="1:19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19" ht="12.95" customHeight="1" x14ac:dyDescent="0.2">
      <c r="A11" s="10" t="s">
        <v>15</v>
      </c>
      <c r="B11" s="10"/>
      <c r="C11" s="20">
        <f ca="1">INTERCEPT(INDIRECT($D$9):G992,INDIRECT($C$9):F992)</f>
        <v>-1.6256003755114184E-4</v>
      </c>
      <c r="D11" s="3"/>
      <c r="E11" s="10"/>
    </row>
    <row r="12" spans="1:19" ht="12.95" customHeight="1" x14ac:dyDescent="0.2">
      <c r="A12" s="10" t="s">
        <v>16</v>
      </c>
      <c r="B12" s="10"/>
      <c r="C12" s="20">
        <f ca="1">SLOPE(INDIRECT($D$9):G992,INDIRECT($C$9):F992)</f>
        <v>1.0242417788589909E-6</v>
      </c>
      <c r="D12" s="3"/>
      <c r="E12" s="47" t="s">
        <v>54</v>
      </c>
      <c r="F12" s="48" t="s">
        <v>53</v>
      </c>
    </row>
    <row r="13" spans="1:19" ht="12.95" customHeight="1" x14ac:dyDescent="0.2">
      <c r="A13" s="10" t="s">
        <v>18</v>
      </c>
      <c r="B13" s="10"/>
      <c r="C13" s="3" t="s">
        <v>13</v>
      </c>
      <c r="E13" s="44" t="s">
        <v>33</v>
      </c>
      <c r="F13" s="49">
        <v>1</v>
      </c>
    </row>
    <row r="14" spans="1:19" ht="12.95" customHeight="1" x14ac:dyDescent="0.2">
      <c r="A14" s="10"/>
      <c r="B14" s="10"/>
      <c r="C14" s="10"/>
      <c r="E14" s="44" t="s">
        <v>30</v>
      </c>
      <c r="F14" s="50">
        <f ca="1">NOW()+15018.5+$C$5/24</f>
        <v>60532.818292361109</v>
      </c>
    </row>
    <row r="15" spans="1:19" ht="12.95" customHeight="1" x14ac:dyDescent="0.2">
      <c r="A15" s="12" t="s">
        <v>17</v>
      </c>
      <c r="B15" s="10"/>
      <c r="C15" s="13">
        <f ca="1">(C7+C11)+(C8+C12)*INT(MAX(F21:F3533))</f>
        <v>57590.534754183827</v>
      </c>
      <c r="E15" s="44" t="s">
        <v>34</v>
      </c>
      <c r="F15" s="50">
        <f ca="1">ROUND(2*($F$14-$C$7)/$C$8,0)/2+$F$13</f>
        <v>31323</v>
      </c>
    </row>
    <row r="16" spans="1:19" ht="12.95" customHeight="1" x14ac:dyDescent="0.2">
      <c r="A16" s="15" t="s">
        <v>4</v>
      </c>
      <c r="B16" s="10"/>
      <c r="C16" s="16">
        <f ca="1">+C8+C12</f>
        <v>0.29190292424177883</v>
      </c>
      <c r="E16" s="44" t="s">
        <v>35</v>
      </c>
      <c r="F16" s="50">
        <f ca="1">ROUND(2*($F$14-$C$15)/$C$16,0)/2+$F$13</f>
        <v>10080.5</v>
      </c>
    </row>
    <row r="17" spans="1:21" ht="12.95" customHeight="1" thickBot="1" x14ac:dyDescent="0.25">
      <c r="A17" s="14" t="s">
        <v>27</v>
      </c>
      <c r="B17" s="10"/>
      <c r="C17" s="10">
        <f>COUNT(C21:C2191)</f>
        <v>4</v>
      </c>
      <c r="E17" s="44" t="s">
        <v>51</v>
      </c>
      <c r="F17" s="51">
        <f ca="1">+$C$15+$C$16*$F$16-15018.5-$C$5/24</f>
        <v>45514.958015336415</v>
      </c>
    </row>
    <row r="18" spans="1:21" ht="12.95" customHeight="1" thickTop="1" thickBot="1" x14ac:dyDescent="0.25">
      <c r="A18" s="15" t="s">
        <v>5</v>
      </c>
      <c r="B18" s="10"/>
      <c r="C18" s="18">
        <f ca="1">+C15</f>
        <v>57590.534754183827</v>
      </c>
      <c r="D18" s="19">
        <f ca="1">+C16</f>
        <v>0.29190292424177883</v>
      </c>
      <c r="E18" s="45" t="s">
        <v>52</v>
      </c>
      <c r="F18" s="52">
        <f ca="1">+($C$15+$C$16*$F$16)-($C$16/2)-15018.5-$C$5/24</f>
        <v>45514.812063874291</v>
      </c>
    </row>
    <row r="19" spans="1:21" ht="12.95" customHeight="1" thickTop="1" x14ac:dyDescent="0.2">
      <c r="E19" s="46"/>
      <c r="F19" s="17"/>
    </row>
    <row r="20" spans="1:21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36</v>
      </c>
      <c r="I20" s="7" t="s">
        <v>37</v>
      </c>
      <c r="J20" s="7" t="s">
        <v>38</v>
      </c>
      <c r="K20" s="7" t="s">
        <v>39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4" t="s">
        <v>32</v>
      </c>
    </row>
    <row r="21" spans="1:21" ht="12.95" customHeight="1" x14ac:dyDescent="0.2">
      <c r="A21" t="s">
        <v>46</v>
      </c>
      <c r="C21" s="8">
        <v>51389.932999999997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-1.6256003755114184E-4</v>
      </c>
      <c r="Q21" s="2">
        <f>+C21-15018.5</f>
        <v>36371.432999999997</v>
      </c>
    </row>
    <row r="22" spans="1:21" ht="12.95" customHeight="1" x14ac:dyDescent="0.2">
      <c r="A22" s="40" t="s">
        <v>49</v>
      </c>
      <c r="B22" s="41" t="s">
        <v>48</v>
      </c>
      <c r="C22" s="42">
        <v>57149.467149999997</v>
      </c>
      <c r="D22" s="42">
        <v>2.9999999999999997E-4</v>
      </c>
      <c r="E22">
        <f>+(C22-C$7)/C$8</f>
        <v>19731.060846126729</v>
      </c>
      <c r="F22">
        <f>ROUND(2*E22,0)/2</f>
        <v>19731</v>
      </c>
      <c r="G22">
        <f>+C22-(C$7+F22*C$8)</f>
        <v>1.7761099996278062E-2</v>
      </c>
      <c r="K22">
        <f>+G22</f>
        <v>1.7761099996278062E-2</v>
      </c>
      <c r="O22">
        <f ca="1">+C$11+C$12*$F22</f>
        <v>2.0046754501115607E-2</v>
      </c>
      <c r="Q22" s="2">
        <f>+C22-15018.5</f>
        <v>42130.967149999997</v>
      </c>
    </row>
    <row r="23" spans="1:21" ht="12.95" customHeight="1" x14ac:dyDescent="0.2">
      <c r="A23" s="40" t="s">
        <v>49</v>
      </c>
      <c r="B23" s="41" t="s">
        <v>50</v>
      </c>
      <c r="C23" s="42">
        <v>57590.38985</v>
      </c>
      <c r="D23" s="42">
        <v>4.0000000000000002E-4</v>
      </c>
      <c r="E23">
        <f>+(C23-C$7)/C$8</f>
        <v>21241.577564243336</v>
      </c>
      <c r="F23">
        <f>ROUND(2*E23,0)/2</f>
        <v>21241.5</v>
      </c>
      <c r="G23">
        <f>+C23-(C$7+F23*C$8)</f>
        <v>2.2641150004346855E-2</v>
      </c>
      <c r="K23">
        <f>+G23</f>
        <v>2.2641150004346855E-2</v>
      </c>
      <c r="O23">
        <f ca="1">+C$11+C$12*$F23</f>
        <v>2.1593871708082114E-2</v>
      </c>
      <c r="Q23" s="2">
        <f>+C23-15018.5</f>
        <v>42571.88985</v>
      </c>
    </row>
    <row r="24" spans="1:21" ht="12.95" customHeight="1" x14ac:dyDescent="0.2">
      <c r="A24" s="40" t="s">
        <v>49</v>
      </c>
      <c r="B24" s="41" t="s">
        <v>48</v>
      </c>
      <c r="C24" s="42">
        <v>57590.535830000001</v>
      </c>
      <c r="D24" s="42">
        <v>4.0000000000000002E-4</v>
      </c>
      <c r="E24">
        <f>+(C24-C$7)/C$8</f>
        <v>21242.077663763077</v>
      </c>
      <c r="F24">
        <f>ROUND(2*E24,0)/2</f>
        <v>21242</v>
      </c>
      <c r="G24">
        <f>+C24-(C$7+F24*C$8)</f>
        <v>2.2670199999993201E-2</v>
      </c>
      <c r="K24">
        <f>+G24</f>
        <v>2.2670199999993201E-2</v>
      </c>
      <c r="O24">
        <f ca="1">+C$11+C$12*$F24</f>
        <v>2.1594383828971542E-2</v>
      </c>
      <c r="Q24" s="2">
        <f>+C24-15018.5</f>
        <v>42572.035830000001</v>
      </c>
    </row>
    <row r="25" spans="1:21" ht="12.95" customHeight="1" x14ac:dyDescent="0.2">
      <c r="C25" s="8"/>
      <c r="D25" s="8"/>
      <c r="Q25" s="2"/>
    </row>
    <row r="26" spans="1:21" ht="12.95" customHeight="1" x14ac:dyDescent="0.2">
      <c r="C26" s="8"/>
      <c r="D26" s="8"/>
      <c r="Q26" s="2"/>
    </row>
    <row r="27" spans="1:21" ht="12.95" customHeight="1" x14ac:dyDescent="0.2">
      <c r="C27" s="8"/>
      <c r="D27" s="8"/>
      <c r="Q27" s="2"/>
    </row>
    <row r="28" spans="1:21" ht="12.95" customHeight="1" x14ac:dyDescent="0.2">
      <c r="C28" s="8"/>
      <c r="D28" s="8"/>
      <c r="Q28" s="2"/>
    </row>
    <row r="29" spans="1:21" ht="12.95" customHeight="1" x14ac:dyDescent="0.2">
      <c r="C29" s="8"/>
      <c r="D29" s="8"/>
      <c r="Q29" s="2"/>
    </row>
    <row r="30" spans="1:21" ht="12.95" customHeight="1" x14ac:dyDescent="0.2">
      <c r="C30" s="8"/>
      <c r="D30" s="8"/>
      <c r="Q30" s="2"/>
    </row>
    <row r="31" spans="1:21" ht="12.95" customHeight="1" x14ac:dyDescent="0.2">
      <c r="C31" s="8"/>
      <c r="D31" s="8"/>
      <c r="Q31" s="2"/>
    </row>
    <row r="32" spans="1:21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ht="12.95" customHeight="1" x14ac:dyDescent="0.2">
      <c r="C36" s="8"/>
      <c r="D36" s="8"/>
    </row>
    <row r="37" spans="3:17" ht="12.95" customHeight="1" x14ac:dyDescent="0.2">
      <c r="C37" s="8"/>
      <c r="D37" s="8"/>
    </row>
    <row r="38" spans="3:17" ht="12.95" customHeight="1" x14ac:dyDescent="0.2">
      <c r="C38" s="8"/>
      <c r="D38" s="8"/>
    </row>
    <row r="39" spans="3:17" ht="12.95" customHeight="1" x14ac:dyDescent="0.2">
      <c r="C39" s="8"/>
      <c r="D39" s="8"/>
    </row>
    <row r="40" spans="3:17" ht="12.95" customHeight="1" x14ac:dyDescent="0.2">
      <c r="C40" s="8"/>
      <c r="D40" s="8"/>
    </row>
    <row r="41" spans="3:17" ht="12.95" customHeight="1" x14ac:dyDescent="0.2">
      <c r="C41" s="8"/>
      <c r="D41" s="8"/>
    </row>
    <row r="42" spans="3:17" ht="12.95" customHeight="1" x14ac:dyDescent="0.2">
      <c r="C42" s="8"/>
      <c r="D42" s="8"/>
    </row>
    <row r="43" spans="3:17" ht="12.95" customHeight="1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2024-08-10T07:38:20Z</dcterms:modified>
</cp:coreProperties>
</file>