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AC5CDA5-E435-4B1A-8DD0-6F92C7DBBB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l="1"/>
  <c r="A1" i="1" l="1"/>
  <c r="A21" i="1"/>
  <c r="C9" i="1"/>
  <c r="C21" i="1"/>
  <c r="E21" i="1" s="1"/>
  <c r="F21" i="1" s="1"/>
  <c r="D9" i="1"/>
  <c r="C17" i="1"/>
  <c r="Q21" i="1"/>
  <c r="G21" i="1" l="1"/>
  <c r="C12" i="1"/>
  <c r="C11" i="1"/>
  <c r="C16" i="1" l="1"/>
  <c r="D18" i="1" s="1"/>
  <c r="O21" i="1"/>
  <c r="C15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<sst xmlns="http://schemas.openxmlformats.org/spreadsheetml/2006/main" count="56" uniqueCount="52">
  <si>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</si>
  <si>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</si>
  <si>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</si>
  <si>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</si>
  <si>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</si>
  <si>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</si>
  <si>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</si>
  <si>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</si>
  <si>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</si>
  <si>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</si>
  <si>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</si>
  <si>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</si>
  <si>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</si>
  <si>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</si>
  <si>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</si>
  <si>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</si>
  <si>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</si>
  <si>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</si>
  <si>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</si>
  <si>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</si>
  <si>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</si>
  <si>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</si>
  <si>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</si>
  <si>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</si>
  <si>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</si>
  <si>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</si>
  <si>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</si>
  <si>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</si>
  <si>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</si>
  <si>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</si>
  <si>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</si>
  <si>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</si>
  <si>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</si>
  <si>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</si>
  <si>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</si>
  <si>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</si>
  <si>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</si>
  <si>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</si>
  <si>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</si>
  <si>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</si>
  <si>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</si>
  <si>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V0364 Dra</t>
  </si>
  <si>
    <t>2021F</t>
  </si>
  <si>
    <t>G3897-0897</t>
  </si>
  <si>
    <t>E?</t>
  </si>
  <si>
    <t>Problems!!</t>
  </si>
  <si>
    <t>VSX</t>
  </si>
  <si>
    <t xml:space="preserve">Mag </t>
  </si>
  <si>
    <t>Next ToM-P</t>
  </si>
  <si>
    <t>Next ToM-S</t>
  </si>
  <si>
    <t>13.90-15.00</t>
  </si>
  <si>
    <t>RRAB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</si>
</sst>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165" fontId="5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19" fillId="0" borderId="0" xfId="0" applyFont="1" applyAlignment="1"/>
    <xf numFmtId="0" fontId="0" fillId="0" borderId="0" xfId="0" applyAlignment="1">
      <alignment horizontal="right"/>
    </xf>
    <xf numFmtId="0" fontId="20" fillId="0" borderId="9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0" fillId="4" borderId="7" xfId="0" applyFill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22" fontId="21" fillId="0" borderId="11" xfId="0" applyNumberFormat="1" applyFont="1" applyBorder="1" applyAlignment="1">
      <alignment horizontal="right" vertical="center"/>
    </xf>
    <xf numFmtId="0" fontId="16" fillId="4" borderId="8" xfId="0" applyFont="1" applyFill="1" applyBorder="1" applyAlignment="1">
      <alignment horizontal="center" vertical="center"/>
    </xf>
    <xf numFmtId="0" fontId="1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V0364</a:t>
            </a:r>
            <a:r>
              <a:rPr lang="en-AU" baseline="0"/>
              <a:t> Dra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0992520443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B1-445E-BB4E-07D3DF49D8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B1-445E-BB4E-07D3DF49D8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B1-445E-BB4E-07D3DF49D8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B1-445E-BB4E-07D3DF49D8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B1-445E-BB4E-07D3DF49D8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B1-445E-BB4E-07D3DF49D8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B1-445E-BB4E-07D3DF49D8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B1-445E-BB4E-07D3DF49D8D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B1-445E-BB4E-07D3DF4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883744"/>
        <c:axId val="1"/>
      </c:scatterChart>
      <c:valAx>
        <c:axId val="760883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30033529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49883937919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883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10028370731"/>
          <c:y val="0.92397937099967764"/>
          <c:w val="0.714285649264940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EA4451-2067-A4E6-0326-D5A7DE6B1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3.7109375" customWidth="1"/>
    <col min="18" max="18" width="9.140625" customWidth="1"/>
  </cols>
  <sheetData>
    <row r="1" spans="1:16" ht="20.25" x14ac:dyDescent="0.3">
      <c r="A1" s="1" t="str">
        <f>F1&amp;" / GSC "&amp;RIGHT(J1,9)</f>
        <v>V0364 Dra / GSC 3897-0897</v>
      </c>
      <c r="F1" s="32" t="s">
        <v>41</v>
      </c>
      <c r="G1" s="33" t="e">
        <v>#N/A</v>
      </c>
      <c r="H1" s="34" t="s">
        <v>42</v>
      </c>
      <c r="I1" s="30"/>
      <c r="J1" s="35" t="s">
        <v>43</v>
      </c>
      <c r="K1" s="32" t="s">
        <v>41</v>
      </c>
      <c r="L1" s="36">
        <v>17.353200000000001</v>
      </c>
      <c r="M1" s="36">
        <v>57.480899999999998</v>
      </c>
      <c r="N1" s="37">
        <v>59373.541059093193</v>
      </c>
      <c r="O1" s="37">
        <v>0.58768181361724514</v>
      </c>
      <c r="P1" s="31" t="s">
        <v>44</v>
      </c>
    </row>
    <row r="2" spans="1:16" x14ac:dyDescent="0.2">
      <c r="A2" t="s">
        <v>23</v>
      </c>
      <c r="B2" s="48" t="s">
        <v>51</v>
      </c>
      <c r="C2" s="29"/>
      <c r="D2" s="38" t="s">
        <v>45</v>
      </c>
    </row>
    <row r="3" spans="1:16" ht="13.5" thickBot="1" x14ac:dyDescent="0.25"/>
    <row r="4" spans="1:16" ht="14.25" thickTop="1" thickBot="1" x14ac:dyDescent="0.25">
      <c r="A4" s="5" t="s">
        <v>0</v>
      </c>
      <c r="C4" s="26" t="s">
        <v>36</v>
      </c>
      <c r="D4" s="27" t="s">
        <v>36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39">
        <v>53506.042500000003</v>
      </c>
      <c r="D7" s="28" t="s">
        <v>46</v>
      </c>
    </row>
    <row r="8" spans="1:16" x14ac:dyDescent="0.2">
      <c r="A8" t="s">
        <v>3</v>
      </c>
      <c r="C8" s="39">
        <v>0.47703800000000002</v>
      </c>
      <c r="D8" s="28" t="s">
        <v>46</v>
      </c>
    </row>
    <row r="9" spans="1:16" x14ac:dyDescent="0.2">
      <c r="A9" s="23" t="s">
        <v>31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0" t="e">
        <f ca="1">INTERCEPT(INDIRECT($D$9):G992,INDIRECT($C$9):F992)</f>
        <v>#DIV/0!</v>
      </c>
      <c r="D11" s="3"/>
      <c r="E11" s="10"/>
    </row>
    <row r="12" spans="1:16" x14ac:dyDescent="0.2">
      <c r="A12" s="10" t="s">
        <v>16</v>
      </c>
      <c r="B12" s="10"/>
      <c r="C12" s="20" t="e">
        <f ca="1">SLOPE(INDIRECT($D$9):G992,INDIRECT($C$9):F992)</f>
        <v>#DIV/0!</v>
      </c>
      <c r="D12" s="3"/>
      <c r="E12" s="42" t="s">
        <v>47</v>
      </c>
      <c r="F12" s="47" t="s">
        <v>50</v>
      </c>
    </row>
    <row r="13" spans="1:16" x14ac:dyDescent="0.2">
      <c r="A13" s="10" t="s">
        <v>18</v>
      </c>
      <c r="B13" s="10"/>
      <c r="C13" s="3" t="s">
        <v>13</v>
      </c>
      <c r="E13" s="40" t="s">
        <v>33</v>
      </c>
      <c r="F13" s="44">
        <v>1</v>
      </c>
    </row>
    <row r="14" spans="1:16" x14ac:dyDescent="0.2">
      <c r="A14" s="10"/>
      <c r="B14" s="10"/>
      <c r="C14" s="10"/>
      <c r="E14" s="40" t="s">
        <v>30</v>
      </c>
      <c r="F14" s="43">
        <f ca="1">NOW()+15018.5+$C$5/24</f>
        <v>60534.735567824071</v>
      </c>
    </row>
    <row r="15" spans="1:16" x14ac:dyDescent="0.2">
      <c r="A15" s="12" t="s">
        <v>17</v>
      </c>
      <c r="B15" s="10"/>
      <c r="C15" s="13" t="e">
        <f ca="1">(C7+C11)+(C8+C12)*INT(MAX(F21:F3533))</f>
        <v>#DIV/0!</v>
      </c>
      <c r="E15" s="40" t="s">
        <v>34</v>
      </c>
      <c r="F15" s="43">
        <f ca="1">ROUND(2*($F$14-$C$7)/$C$8,0)/2+$F$13</f>
        <v>14735</v>
      </c>
    </row>
    <row r="16" spans="1:16" x14ac:dyDescent="0.2">
      <c r="A16" s="15" t="s">
        <v>4</v>
      </c>
      <c r="B16" s="10"/>
      <c r="C16" s="16" t="e">
        <f ca="1">+C8+C12</f>
        <v>#DIV/0!</v>
      </c>
      <c r="E16" s="40" t="s">
        <v>35</v>
      </c>
      <c r="F16" s="43" t="e">
        <f ca="1">ROUND(2*($F$14-$C$15)/$C$16,0)/2+$F$13</f>
        <v>#DIV/0!</v>
      </c>
    </row>
    <row r="17" spans="1:21" ht="13.5" thickBot="1" x14ac:dyDescent="0.25">
      <c r="A17" s="14" t="s">
        <v>27</v>
      </c>
      <c r="B17" s="10"/>
      <c r="C17" s="10">
        <f>COUNT(C21:C2191)</f>
        <v>1</v>
      </c>
      <c r="E17" s="40" t="s">
        <v>48</v>
      </c>
      <c r="F17" s="45" t="e">
        <f ca="1">+$C$15+$C$16*$F$16-15018.5-$C$5/24</f>
        <v>#DIV/0!</v>
      </c>
    </row>
    <row r="18" spans="1:21" ht="14.25" thickTop="1" thickBot="1" x14ac:dyDescent="0.25">
      <c r="A18" s="15" t="s">
        <v>5</v>
      </c>
      <c r="B18" s="10"/>
      <c r="C18" s="18" t="e">
        <f ca="1">+C15</f>
        <v>#DIV/0!</v>
      </c>
      <c r="D18" s="19" t="e">
        <f ca="1">+C16</f>
        <v>#DIV/0!</v>
      </c>
      <c r="E18" s="41" t="s">
        <v>49</v>
      </c>
      <c r="F18" s="46" t="e">
        <f ca="1">+($C$15+$C$16*$F$16)-($C$16/2)-15018.5-$C$5/24</f>
        <v>#DIV/0!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32</v>
      </c>
    </row>
    <row r="21" spans="1:21" x14ac:dyDescent="0.2">
      <c r="A21" t="str">
        <f>D7</f>
        <v>VSX</v>
      </c>
      <c r="C21" s="8">
        <f>C$7</f>
        <v>53506.042500000003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 t="e">
        <f ca="1">+C$11+C$12*$F21</f>
        <v>#DIV/0!</v>
      </c>
      <c r="Q21" s="2">
        <f>+C21-15018.5</f>
        <v>38487.542500000003</v>
      </c>
    </row>
    <row r="22" spans="1:21" x14ac:dyDescent="0.2">
      <c r="C22" s="8"/>
      <c r="D22" s="8"/>
      <c r="Q22" s="2"/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2024-08-12T05:39:13Z</dcterms:modified>
</cp:coreProperties>
</file>