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62DC51C-08C5-44FE-B0BE-642F28D91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C8" i="1"/>
  <c r="E22" i="1"/>
  <c r="F22" i="1"/>
  <c r="G22" i="1"/>
  <c r="K22" i="1"/>
  <c r="C9" i="1"/>
  <c r="D9" i="1"/>
  <c r="C17" i="1"/>
  <c r="Q21" i="1"/>
  <c r="E21" i="1"/>
  <c r="F21" i="1"/>
  <c r="G21" i="1"/>
  <c r="I21" i="1"/>
  <c r="C12" i="1"/>
  <c r="C11" i="1"/>
  <c r="F15" i="1" l="1"/>
  <c r="O22" i="1"/>
  <c r="C15" i="1"/>
  <c r="O21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<sst xmlns="http://schemas.openxmlformats.org/spreadsheetml/2006/main" count="59" uniqueCount="55">
  <si>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</si>
  <si>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</si>
  <si>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</si>
  <si>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</si>
  <si>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</si>
  <si>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</si>
  <si>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</si>
  <si>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</si>
  <si>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</si>
  <si>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</si>
  <si>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</si>
  <si>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</si>
  <si>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</si>
  <si>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</si>
  <si>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</si>
  <si>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</si>
  <si>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</si>
  <si>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</si>
  <si>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</si>
  <si>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</si>
  <si>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</si>
  <si>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</si>
  <si>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</si>
  <si>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</si>
  <si>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</si>
  <si>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</si>
  <si>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</si>
  <si>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</si>
  <si>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</si>
  <si>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</si>
  <si>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</si>
  <si>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</si>
  <si>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</si>
  <si>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</si>
  <si>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</si>
  <si>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</si>
  <si>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</si>
  <si>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</si>
  <si>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</si>
  <si>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</si>
  <si>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V0365 Dra  </t>
  </si>
  <si>
    <t>2017K</t>
  </si>
  <si>
    <t>G3891-0633</t>
  </si>
  <si>
    <t xml:space="preserve">EW        </t>
  </si>
  <si>
    <t>pr_6</t>
  </si>
  <si>
    <t xml:space="preserve">         </t>
  </si>
  <si>
    <t>V0365 Dra   / GSC 3891-0633</t>
  </si>
  <si>
    <t>GCVS</t>
  </si>
  <si>
    <t>I</t>
  </si>
  <si>
    <t>OEJV 0179</t>
  </si>
  <si>
    <t xml:space="preserve">Mag </t>
  </si>
  <si>
    <t>Next ToM-P</t>
  </si>
  <si>
    <t>Next ToM-S</t>
  </si>
  <si>
    <t>VSX</t>
  </si>
  <si>
    <t>11.82-12.03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</si>
</sst>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3" fillId="0" borderId="14" xfId="0" applyFont="1" applyBorder="1" applyAlignment="1">
      <alignment horizontal="right" vertical="center"/>
    </xf>
    <xf numFmtId="0" fontId="33" fillId="0" borderId="17" xfId="0" applyFont="1" applyBorder="1" applyAlignment="1">
      <alignment horizontal="right" vertical="center"/>
    </xf>
    <xf numFmtId="0" fontId="34" fillId="0" borderId="15" xfId="0" applyFont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0" fontId="16" fillId="26" borderId="12" xfId="0" applyFont="1" applyFill="1" applyBorder="1" applyAlignment="1">
      <alignment horizontal="right" vertical="center"/>
    </xf>
    <xf numFmtId="0" fontId="16" fillId="26" borderId="13" xfId="0" applyFont="1" applyFill="1" applyBorder="1" applyAlignment="1">
      <alignment horizontal="center" vertical="center"/>
    </xf>
    <xf numFmtId="22" fontId="34" fillId="0" borderId="15" xfId="0" applyNumberFormat="1" applyFont="1" applyBorder="1" applyAlignment="1">
      <alignment horizontal="right" vertical="center"/>
    </xf>
    <xf numFmtId="22" fontId="34" fillId="0" borderId="16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V0365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20-4B58-91D6-C227A42B4B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20-4B58-91D6-C227A42B4B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20-4B58-91D6-C227A42B4B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-9.7000000096159056E-4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20-4B58-91D6-C227A42B4B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20-4B58-91D6-C227A42B4B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20-4B58-91D6-C227A42B4B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20-4B58-91D6-C227A42B4B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-9.7000000096159056E-4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20-4B58-91D6-C227A42B4B4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20-4B58-91D6-C227A42B4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29424"/>
        <c:axId val="1"/>
      </c:scatterChart>
      <c:valAx>
        <c:axId val="79432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29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3C0138-EBDA-3DCD-73EA-DC74C99B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4" t="s">
        <v>40</v>
      </c>
      <c r="G1" s="29" t="s">
        <v>41</v>
      </c>
      <c r="H1" s="35"/>
      <c r="I1" s="36" t="s">
        <v>42</v>
      </c>
      <c r="J1" s="37" t="s">
        <v>40</v>
      </c>
      <c r="K1" s="38">
        <v>17.1648</v>
      </c>
      <c r="L1" s="31">
        <v>54.461469999999998</v>
      </c>
      <c r="M1" s="32">
        <v>51358.743999999999</v>
      </c>
      <c r="N1" s="32">
        <v>0.35396</v>
      </c>
      <c r="O1" s="30" t="s">
        <v>43</v>
      </c>
      <c r="P1" s="31">
        <v>11.82</v>
      </c>
      <c r="Q1" s="31">
        <v>12.03</v>
      </c>
      <c r="R1" s="39" t="s">
        <v>44</v>
      </c>
      <c r="S1" s="30" t="s">
        <v>45</v>
      </c>
    </row>
    <row r="2" spans="1:19" x14ac:dyDescent="0.2">
      <c r="A2" t="s">
        <v>23</v>
      </c>
      <c r="B2" t="s">
        <v>43</v>
      </c>
      <c r="C2" s="28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5">
        <v>51358.743999999999</v>
      </c>
      <c r="D4" s="26">
        <v>0.35396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3">
        <v>51358.743999999999</v>
      </c>
      <c r="D7" s="27" t="s">
        <v>53</v>
      </c>
    </row>
    <row r="8" spans="1:19" x14ac:dyDescent="0.2">
      <c r="A8" t="s">
        <v>3</v>
      </c>
      <c r="C8" s="43">
        <f>N1</f>
        <v>0.35396</v>
      </c>
      <c r="D8" s="27" t="s">
        <v>53</v>
      </c>
    </row>
    <row r="9" spans="1:19" x14ac:dyDescent="0.2">
      <c r="A9" s="23" t="s">
        <v>31</v>
      </c>
      <c r="B9" s="33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0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0">
        <f ca="1">SLOPE(INDIRECT($D$9):G992,INDIRECT($C$9):F992)</f>
        <v>-5.4476019373334298E-8</v>
      </c>
      <c r="D12" s="3"/>
      <c r="E12" s="48" t="s">
        <v>50</v>
      </c>
      <c r="F12" s="49" t="s">
        <v>54</v>
      </c>
    </row>
    <row r="13" spans="1:19" x14ac:dyDescent="0.2">
      <c r="A13" s="10" t="s">
        <v>18</v>
      </c>
      <c r="B13" s="10"/>
      <c r="C13" s="3" t="s">
        <v>13</v>
      </c>
      <c r="E13" s="44" t="s">
        <v>33</v>
      </c>
      <c r="F13" s="47">
        <v>1</v>
      </c>
    </row>
    <row r="14" spans="1:19" x14ac:dyDescent="0.2">
      <c r="A14" s="10"/>
      <c r="B14" s="10"/>
      <c r="C14" s="10"/>
      <c r="E14" s="44" t="s">
        <v>30</v>
      </c>
      <c r="F14" s="46">
        <f ca="1">NOW()+15018.5+$C$5/24</f>
        <v>60534.736924652774</v>
      </c>
    </row>
    <row r="15" spans="1:19" x14ac:dyDescent="0.2">
      <c r="A15" s="12" t="s">
        <v>17</v>
      </c>
      <c r="B15" s="10"/>
      <c r="C15" s="13">
        <f ca="1">(C7+C11)+(C8+C12)*INT(MAX(F21:F3533))</f>
        <v>57661.354789999998</v>
      </c>
      <c r="E15" s="44" t="s">
        <v>34</v>
      </c>
      <c r="F15" s="46">
        <f ca="1">ROUND(2*($F$14-$C$7)/$C$8,0)/2+$F$13</f>
        <v>25925</v>
      </c>
    </row>
    <row r="16" spans="1:19" x14ac:dyDescent="0.2">
      <c r="A16" s="15" t="s">
        <v>4</v>
      </c>
      <c r="B16" s="10"/>
      <c r="C16" s="16">
        <f ca="1">+C8+C12</f>
        <v>0.35395994552398063</v>
      </c>
      <c r="E16" s="44" t="s">
        <v>35</v>
      </c>
      <c r="F16" s="46">
        <f ca="1">ROUND(2*($F$14-$C$15)/$C$16,0)/2+$F$13</f>
        <v>8119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44" t="s">
        <v>51</v>
      </c>
      <c r="F17" s="50">
        <f ca="1">+$C$15+$C$16*$F$16-15018.5-$C$5/24</f>
        <v>45517.051421042532</v>
      </c>
    </row>
    <row r="18" spans="1:21" ht="14.25" thickTop="1" thickBot="1" x14ac:dyDescent="0.25">
      <c r="A18" s="15" t="s">
        <v>5</v>
      </c>
      <c r="B18" s="10"/>
      <c r="C18" s="18">
        <f ca="1">+C15</f>
        <v>57661.354789999998</v>
      </c>
      <c r="D18" s="19">
        <f ca="1">+C16</f>
        <v>0.35395994552398063</v>
      </c>
      <c r="E18" s="45" t="s">
        <v>52</v>
      </c>
      <c r="F18" s="51">
        <f ca="1">+($C$15+$C$16*$F$16)-($C$16/2)-15018.5-$C$5/24</f>
        <v>45516.874441069769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t="s">
        <v>47</v>
      </c>
      <c r="C21" s="8">
        <v>51358.743999999999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36340.243999999999</v>
      </c>
    </row>
    <row r="22" spans="1:21" x14ac:dyDescent="0.2">
      <c r="A22" s="40" t="s">
        <v>49</v>
      </c>
      <c r="B22" s="41" t="s">
        <v>48</v>
      </c>
      <c r="C22" s="42">
        <v>57661.354789999998</v>
      </c>
      <c r="D22" s="42">
        <v>6.9999999999999999E-4</v>
      </c>
      <c r="E22">
        <f>+(C22-C$7)/C$8</f>
        <v>17805.997259577351</v>
      </c>
      <c r="F22">
        <f>ROUND(2*E22,0)/2</f>
        <v>17806</v>
      </c>
      <c r="G22">
        <f>+C22-(C$7+F22*C$8)</f>
        <v>-9.7000000096159056E-4</v>
      </c>
      <c r="K22">
        <f>+G22</f>
        <v>-9.7000000096159056E-4</v>
      </c>
      <c r="O22">
        <f ca="1">+C$11+C$12*$F22</f>
        <v>-9.7000000096159056E-4</v>
      </c>
      <c r="Q22" s="2">
        <f>+C22-15018.5</f>
        <v>42642.854789999998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2024-08-12T05:41:10Z</dcterms:modified>
</cp:coreProperties>
</file>