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018D7F1-8FBF-4A97-B36C-C880113DB0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Q22" i="1"/>
  <c r="F11" i="1"/>
  <c r="E21" i="1"/>
  <c r="F21" i="1"/>
  <c r="G21" i="1"/>
  <c r="H21" i="1"/>
  <c r="G11" i="1"/>
  <c r="C17" i="1"/>
  <c r="R22" i="1"/>
  <c r="Q21" i="1"/>
  <c r="C12" i="1"/>
  <c r="F15" i="1" l="1"/>
  <c r="C16" i="1"/>
  <c r="D18" i="1" s="1"/>
  <c r="C11" i="1"/>
  <c r="O22" i="1" l="1"/>
  <c r="O21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<sst xmlns="http://schemas.openxmlformats.org/spreadsheetml/2006/main" count="53" uniqueCount="50">
  <si>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</si>
  <si>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</si>
  <si>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</si>
  <si>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</si>
  <si>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</si>
  <si>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</si>
  <si>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</si>
  <si>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</si>
  <si>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</si>
  <si>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</si>
  <si>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</si>
  <si>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</si>
  <si>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</si>
  <si>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</si>
  <si>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</si>
  <si>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</si>
  <si>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</si>
  <si>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</si>
  <si>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</si>
  <si>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</si>
  <si>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</si>
  <si>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</si>
  <si>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</si>
  <si>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</si>
  <si>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</si>
  <si>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</si>
  <si>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</si>
  <si>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</si>
  <si>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</si>
  <si>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</si>
  <si>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</si>
  <si>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</si>
  <si>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</si>
  <si>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</si>
  <si>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</si>
  <si>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</si>
  <si>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</si>
  <si>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</si>
  <si>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</si>
  <si>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RHN 2011</t>
  </si>
  <si>
    <t>Dra</t>
  </si>
  <si>
    <t>not avail.</t>
  </si>
  <si>
    <t>EA</t>
  </si>
  <si>
    <t>V0376 Dra / GSC 4421-1708</t>
  </si>
  <si>
    <t>CCD</t>
  </si>
  <si>
    <t>Next ToM-P</t>
  </si>
  <si>
    <t>Next ToM-S</t>
  </si>
  <si>
    <t>VSX</t>
  </si>
  <si>
    <t>12.70-&lt;14.40</t>
  </si>
  <si>
    <t xml:space="preserve">Mag R1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</si>
</sst>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22" fontId="0" fillId="0" borderId="0" xfId="0" applyNumberFormat="1" applyAlignment="1">
      <alignment horizontal="center"/>
    </xf>
    <xf numFmtId="0" fontId="13" fillId="0" borderId="0" xfId="0" applyFont="1" applyAlignment="1"/>
    <xf numFmtId="0" fontId="14" fillId="0" borderId="7" xfId="0" applyFont="1" applyBorder="1" applyAlignment="1">
      <alignment horizontal="right" vertical="center"/>
    </xf>
    <xf numFmtId="22" fontId="14" fillId="0" borderId="7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22" fontId="15" fillId="0" borderId="8" xfId="0" applyNumberFormat="1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0" fontId="12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V0376</a:t>
            </a:r>
            <a:r>
              <a:rPr lang="en-AU" baseline="0"/>
              <a:t> Dra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44-4F2A-B206-95545A9A8F6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5.7000000379048288E-4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44-4F2A-B206-95545A9A8F6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44-4F2A-B206-95545A9A8F6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44-4F2A-B206-95545A9A8F6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44-4F2A-B206-95545A9A8F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44-4F2A-B206-95545A9A8F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44-4F2A-B206-95545A9A8F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5.7000000379048288E-4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44-4F2A-B206-95545A9A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71184"/>
        <c:axId val="1"/>
      </c:scatterChart>
      <c:valAx>
        <c:axId val="794371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71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015037593984963"/>
          <c:y val="0.92375366568914952"/>
          <c:w val="0.634586466165413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6B2F591-A2DD-3BE7-2EB8-16E34A03D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26" t="s">
        <v>43</v>
      </c>
    </row>
    <row r="2" spans="1:7" ht="12.95" customHeight="1" x14ac:dyDescent="0.2">
      <c r="A2" t="s">
        <v>25</v>
      </c>
      <c r="B2" t="s">
        <v>42</v>
      </c>
      <c r="D2" s="2" t="s">
        <v>40</v>
      </c>
      <c r="E2" s="25"/>
    </row>
    <row r="3" spans="1:7" ht="12.95" customHeight="1" thickBot="1" x14ac:dyDescent="0.25"/>
    <row r="4" spans="1:7" ht="12.95" customHeight="1" thickTop="1" thickBot="1" x14ac:dyDescent="0.25">
      <c r="A4" s="4" t="s">
        <v>0</v>
      </c>
      <c r="C4" s="7" t="s">
        <v>41</v>
      </c>
      <c r="D4" s="8" t="s">
        <v>41</v>
      </c>
    </row>
    <row r="5" spans="1:7" ht="12.95" customHeight="1" x14ac:dyDescent="0.2"/>
    <row r="6" spans="1:7" ht="12.95" customHeight="1" x14ac:dyDescent="0.2">
      <c r="A6" s="4" t="s">
        <v>1</v>
      </c>
    </row>
    <row r="7" spans="1:7" ht="12.95" customHeight="1" x14ac:dyDescent="0.2">
      <c r="A7" t="s">
        <v>2</v>
      </c>
      <c r="C7">
        <v>51332.748</v>
      </c>
      <c r="D7" s="36" t="s">
        <v>47</v>
      </c>
    </row>
    <row r="8" spans="1:7" ht="12.95" customHeight="1" x14ac:dyDescent="0.2">
      <c r="A8" t="s">
        <v>3</v>
      </c>
      <c r="C8">
        <v>1.2101900000000001</v>
      </c>
      <c r="D8" s="36" t="s">
        <v>47</v>
      </c>
    </row>
    <row r="9" spans="1:7" ht="12.95" customHeight="1" x14ac:dyDescent="0.2">
      <c r="A9" s="10" t="s">
        <v>32</v>
      </c>
      <c r="B9" s="11"/>
      <c r="C9" s="12">
        <v>-9.5</v>
      </c>
      <c r="D9" s="11" t="s">
        <v>33</v>
      </c>
      <c r="E9" s="11"/>
    </row>
    <row r="10" spans="1:7" ht="12.95" customHeight="1" thickBot="1" x14ac:dyDescent="0.25">
      <c r="A10" s="11"/>
      <c r="B10" s="11"/>
      <c r="C10" s="3" t="s">
        <v>21</v>
      </c>
      <c r="D10" s="3" t="s">
        <v>22</v>
      </c>
      <c r="E10" s="11"/>
    </row>
    <row r="11" spans="1:7" ht="12.95" customHeight="1" x14ac:dyDescent="0.2">
      <c r="A11" s="11" t="s">
        <v>16</v>
      </c>
      <c r="B11" s="11"/>
      <c r="C11" s="20">
        <f ca="1">INTERCEPT(INDIRECT($G$11):G992,INDIRECT($F$11):F992)</f>
        <v>0</v>
      </c>
      <c r="D11" s="2"/>
      <c r="E11" s="11"/>
      <c r="F11" s="21" t="str">
        <f>"F"&amp;E19</f>
        <v>F21</v>
      </c>
      <c r="G11" s="22" t="str">
        <f>"G"&amp;E19</f>
        <v>G21</v>
      </c>
    </row>
    <row r="12" spans="1:7" ht="12.95" customHeight="1" x14ac:dyDescent="0.2">
      <c r="A12" s="11" t="s">
        <v>17</v>
      </c>
      <c r="B12" s="11"/>
      <c r="C12" s="20">
        <f ca="1">SLOPE(INDIRECT($G$11):G992,INDIRECT($F$11):F992)</f>
        <v>1.5846538887697605E-7</v>
      </c>
      <c r="D12" s="2"/>
      <c r="E12" s="30" t="s">
        <v>49</v>
      </c>
      <c r="F12" s="31" t="s">
        <v>48</v>
      </c>
    </row>
    <row r="13" spans="1:7" ht="12.95" customHeight="1" x14ac:dyDescent="0.2">
      <c r="A13" s="11" t="s">
        <v>20</v>
      </c>
      <c r="B13" s="11"/>
      <c r="C13" s="2" t="s">
        <v>14</v>
      </c>
      <c r="D13" s="15"/>
      <c r="E13" s="27" t="s">
        <v>36</v>
      </c>
      <c r="F13" s="33">
        <v>1</v>
      </c>
    </row>
    <row r="14" spans="1:7" ht="12.95" customHeight="1" x14ac:dyDescent="0.2">
      <c r="A14" s="11"/>
      <c r="B14" s="11"/>
      <c r="C14" s="11"/>
      <c r="D14" s="15"/>
      <c r="E14" s="27" t="s">
        <v>34</v>
      </c>
      <c r="F14" s="32">
        <f ca="1">NOW()+15018.5+$C$9/24</f>
        <v>60534.752250925922</v>
      </c>
    </row>
    <row r="15" spans="1:7" ht="12.95" customHeight="1" x14ac:dyDescent="0.2">
      <c r="A15" s="13" t="s">
        <v>18</v>
      </c>
      <c r="B15" s="11"/>
      <c r="C15" s="14">
        <f ca="1">(C7+C11)+(C8+C12)*INT(MAX(F21:F3533))</f>
        <v>55685.802000000003</v>
      </c>
      <c r="D15" s="15"/>
      <c r="E15" s="27" t="s">
        <v>37</v>
      </c>
      <c r="F15" s="32">
        <f ca="1">ROUND(2*($F$14-$C$7)/$C$8,0)/2+$F$13</f>
        <v>7605</v>
      </c>
    </row>
    <row r="16" spans="1:7" ht="12.95" customHeight="1" x14ac:dyDescent="0.2">
      <c r="A16" s="16" t="s">
        <v>4</v>
      </c>
      <c r="B16" s="11"/>
      <c r="C16" s="17">
        <f ca="1">+C8+C12</f>
        <v>1.2101901584653889</v>
      </c>
      <c r="D16" s="15"/>
      <c r="E16" s="27" t="s">
        <v>38</v>
      </c>
      <c r="F16" s="32">
        <f ca="1">ROUND(2*($F$14-$C$15)/$C$16,0)/2+$F$13</f>
        <v>4008</v>
      </c>
    </row>
    <row r="17" spans="1:18" ht="12.95" customHeight="1" thickBot="1" x14ac:dyDescent="0.25">
      <c r="A17" s="15" t="s">
        <v>31</v>
      </c>
      <c r="B17" s="11"/>
      <c r="C17" s="11">
        <f>COUNT(C21:C2191)</f>
        <v>2</v>
      </c>
      <c r="D17" s="15"/>
      <c r="E17" s="28" t="s">
        <v>45</v>
      </c>
      <c r="F17" s="34">
        <f ca="1">+$C$15+$C$16*$F$16-15018.5-$C$9/24</f>
        <v>45518.139988462615</v>
      </c>
    </row>
    <row r="18" spans="1:18" ht="12.95" customHeight="1" thickTop="1" thickBot="1" x14ac:dyDescent="0.25">
      <c r="A18" s="16" t="s">
        <v>5</v>
      </c>
      <c r="B18" s="11"/>
      <c r="C18" s="18">
        <f ca="1">+C15</f>
        <v>55685.802000000003</v>
      </c>
      <c r="D18" s="19">
        <f ca="1">+C16</f>
        <v>1.2101901584653889</v>
      </c>
      <c r="E18" s="29" t="s">
        <v>46</v>
      </c>
      <c r="F18" s="35">
        <f ca="1">+($C$15+$C$16*$F$16)-($C$16/2)-15018.5-$C$9/24</f>
        <v>45517.534893383381</v>
      </c>
    </row>
    <row r="19" spans="1:18" ht="12.95" customHeight="1" thickTop="1" x14ac:dyDescent="0.2">
      <c r="A19" s="23" t="s">
        <v>35</v>
      </c>
      <c r="E19" s="24">
        <v>21</v>
      </c>
    </row>
    <row r="20" spans="1:18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30</v>
      </c>
      <c r="I20" s="6" t="s">
        <v>44</v>
      </c>
      <c r="J20" s="6" t="s">
        <v>19</v>
      </c>
      <c r="K20" s="6" t="s">
        <v>26</v>
      </c>
      <c r="L20" s="6" t="s">
        <v>27</v>
      </c>
      <c r="M20" s="6" t="s">
        <v>28</v>
      </c>
      <c r="N20" s="6" t="s">
        <v>29</v>
      </c>
      <c r="O20" s="6" t="s">
        <v>24</v>
      </c>
      <c r="P20" s="5" t="s">
        <v>23</v>
      </c>
      <c r="Q20" s="3" t="s">
        <v>15</v>
      </c>
    </row>
    <row r="21" spans="1:18" ht="12.95" customHeight="1" x14ac:dyDescent="0.2">
      <c r="A21" t="s">
        <v>12</v>
      </c>
      <c r="C21" s="9">
        <v>51332.748</v>
      </c>
      <c r="D21" s="9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36314.248</v>
      </c>
    </row>
    <row r="22" spans="1:18" ht="12.95" customHeight="1" x14ac:dyDescent="0.2">
      <c r="A22" t="s">
        <v>39</v>
      </c>
      <c r="C22" s="9">
        <v>55685.802000000003</v>
      </c>
      <c r="D22" s="9">
        <v>5.0000000000000001E-4</v>
      </c>
      <c r="E22">
        <f>+(C22-C$7)/C$8</f>
        <v>3597.0004710004241</v>
      </c>
      <c r="F22">
        <f>ROUND(2*E22,0)/2</f>
        <v>3597</v>
      </c>
      <c r="G22">
        <f>+C22-(C$7+F22*C$8)</f>
        <v>5.7000000379048288E-4</v>
      </c>
      <c r="I22">
        <f>+G22</f>
        <v>5.7000000379048288E-4</v>
      </c>
      <c r="O22">
        <f ca="1">+C$11+C$12*$F22</f>
        <v>5.7000000379048288E-4</v>
      </c>
      <c r="Q22" s="1">
        <f>+C22-15018.5</f>
        <v>40667.302000000003</v>
      </c>
      <c r="R22" t="str">
        <f>IF(ABS(C22-C21)&lt;0.00001,1,"")</f>
        <v/>
      </c>
    </row>
    <row r="23" spans="1:18" ht="12.95" customHeight="1" x14ac:dyDescent="0.2">
      <c r="C23" s="9"/>
      <c r="D23" s="9"/>
      <c r="Q23" s="1"/>
    </row>
    <row r="24" spans="1:18" ht="12.95" customHeight="1" x14ac:dyDescent="0.2">
      <c r="C24" s="9"/>
      <c r="D24" s="9"/>
      <c r="Q24" s="1"/>
    </row>
    <row r="25" spans="1:18" ht="12.95" customHeight="1" x14ac:dyDescent="0.2">
      <c r="C25" s="9"/>
      <c r="D25" s="9"/>
      <c r="Q25" s="1"/>
    </row>
    <row r="26" spans="1:18" ht="12.95" customHeight="1" x14ac:dyDescent="0.2">
      <c r="C26" s="9"/>
      <c r="D26" s="9"/>
      <c r="Q26" s="1"/>
    </row>
    <row r="27" spans="1:18" ht="12.95" customHeight="1" x14ac:dyDescent="0.2">
      <c r="C27" s="9"/>
      <c r="D27" s="9"/>
      <c r="Q27" s="1"/>
    </row>
    <row r="28" spans="1:18" ht="12.95" customHeight="1" x14ac:dyDescent="0.2">
      <c r="C28" s="9"/>
      <c r="D28" s="9"/>
      <c r="Q28" s="1"/>
    </row>
    <row r="29" spans="1:18" ht="12.95" customHeight="1" x14ac:dyDescent="0.2">
      <c r="C29" s="9"/>
      <c r="D29" s="9"/>
      <c r="Q29" s="1"/>
    </row>
    <row r="30" spans="1:18" ht="12.95" customHeight="1" x14ac:dyDescent="0.2">
      <c r="C30" s="9"/>
      <c r="D30" s="9"/>
      <c r="Q30" s="1"/>
    </row>
    <row r="31" spans="1:18" ht="12.95" customHeight="1" x14ac:dyDescent="0.2">
      <c r="C31" s="9"/>
      <c r="D31" s="9"/>
      <c r="Q31" s="1"/>
    </row>
    <row r="32" spans="1:18" ht="12.95" customHeight="1" x14ac:dyDescent="0.2">
      <c r="C32" s="9"/>
      <c r="D32" s="9"/>
      <c r="Q32" s="1"/>
    </row>
    <row r="33" spans="3:17" ht="12.95" customHeight="1" x14ac:dyDescent="0.2">
      <c r="C33" s="9"/>
      <c r="D33" s="9"/>
      <c r="Q33" s="1"/>
    </row>
    <row r="34" spans="3:17" ht="12.95" customHeight="1" x14ac:dyDescent="0.2">
      <c r="C34" s="9"/>
      <c r="D34" s="9"/>
    </row>
    <row r="35" spans="3:17" ht="12.95" customHeight="1" x14ac:dyDescent="0.2">
      <c r="C35" s="9"/>
      <c r="D35" s="9"/>
    </row>
    <row r="36" spans="3:17" ht="12.95" customHeight="1" x14ac:dyDescent="0.2">
      <c r="C36" s="9"/>
      <c r="D36" s="9"/>
    </row>
    <row r="37" spans="3:17" ht="12.95" customHeight="1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2024-08-12T06:03:14Z</dcterms:modified>
</cp:coreProperties>
</file>