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0CBF98A-2FC4-4306-8ECD-CF0F4AC6ED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8" i="1" l="1"/>
  <c r="F38" i="1" s="1"/>
  <c r="G38" i="1" s="1"/>
  <c r="I38" i="1" s="1"/>
  <c r="Q38" i="1"/>
  <c r="F12" i="1"/>
  <c r="E21" i="1"/>
  <c r="F21" i="1" s="1"/>
  <c r="G21" i="1" s="1"/>
  <c r="E22" i="1"/>
  <c r="F22" i="1"/>
  <c r="G22" i="1" s="1"/>
  <c r="E23" i="1"/>
  <c r="F23" i="1" s="1"/>
  <c r="G23" i="1" s="1"/>
  <c r="E24" i="1"/>
  <c r="F24" i="1" s="1"/>
  <c r="G24" i="1" s="1"/>
  <c r="S24" i="1" s="1"/>
  <c r="E25" i="1"/>
  <c r="F25" i="1" s="1"/>
  <c r="G25" i="1" s="1"/>
  <c r="E26" i="1"/>
  <c r="F26" i="1" s="1"/>
  <c r="G26" i="1" s="1"/>
  <c r="E27" i="1"/>
  <c r="F27" i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/>
  <c r="G31" i="1" s="1"/>
  <c r="E32" i="1"/>
  <c r="F32" i="1" s="1"/>
  <c r="G32" i="1" s="1"/>
  <c r="E33" i="1"/>
  <c r="F33" i="1"/>
  <c r="G33" i="1"/>
  <c r="H33" i="1" s="1"/>
  <c r="E34" i="1"/>
  <c r="F34" i="1" s="1"/>
  <c r="G34" i="1" s="1"/>
  <c r="E35" i="1"/>
  <c r="F35" i="1"/>
  <c r="G35" i="1"/>
  <c r="E36" i="1"/>
  <c r="F36" i="1" s="1"/>
  <c r="G36" i="1" s="1"/>
  <c r="E37" i="1"/>
  <c r="F37" i="1" s="1"/>
  <c r="G37" i="1" s="1"/>
  <c r="E39" i="1"/>
  <c r="F39" i="1"/>
  <c r="G39" i="1" s="1"/>
  <c r="E41" i="1"/>
  <c r="F41" i="1" s="1"/>
  <c r="G41" i="1" s="1"/>
  <c r="E40" i="1"/>
  <c r="F40" i="1"/>
  <c r="G40" i="1"/>
  <c r="J40" i="1" s="1"/>
  <c r="C14" i="1"/>
  <c r="C13" i="1"/>
  <c r="D14" i="1"/>
  <c r="D13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1" i="1"/>
  <c r="Q40" i="1"/>
  <c r="C17" i="1"/>
  <c r="J35" i="1"/>
  <c r="R35" i="1"/>
  <c r="R30" i="1" l="1"/>
  <c r="H30" i="1"/>
  <c r="R23" i="1"/>
  <c r="H23" i="1"/>
  <c r="J41" i="1"/>
  <c r="S41" i="1"/>
  <c r="J39" i="1"/>
  <c r="S39" i="1"/>
  <c r="R37" i="1"/>
  <c r="J37" i="1"/>
  <c r="H27" i="1"/>
  <c r="R27" i="1"/>
  <c r="H22" i="1"/>
  <c r="R22" i="1"/>
  <c r="S28" i="1"/>
  <c r="H28" i="1"/>
  <c r="J36" i="1"/>
  <c r="S36" i="1"/>
  <c r="R29" i="1"/>
  <c r="H29" i="1"/>
  <c r="H32" i="1"/>
  <c r="R32" i="1"/>
  <c r="S21" i="1"/>
  <c r="H21" i="1"/>
  <c r="S34" i="1"/>
  <c r="H34" i="1"/>
  <c r="H26" i="1"/>
  <c r="R26" i="1"/>
  <c r="R31" i="1"/>
  <c r="H31" i="1"/>
  <c r="R25" i="1"/>
  <c r="H25" i="1"/>
  <c r="H24" i="1"/>
  <c r="R40" i="1"/>
  <c r="R33" i="1"/>
  <c r="F13" i="1"/>
  <c r="C12" i="1"/>
  <c r="D12" i="1"/>
  <c r="D11" i="1"/>
  <c r="C11" i="1"/>
  <c r="O38" i="1" l="1"/>
  <c r="P38" i="1"/>
  <c r="P41" i="1"/>
  <c r="P37" i="1"/>
  <c r="P39" i="1"/>
  <c r="P27" i="1"/>
  <c r="P26" i="1"/>
  <c r="P35" i="1"/>
  <c r="P29" i="1"/>
  <c r="P32" i="1"/>
  <c r="P28" i="1"/>
  <c r="P40" i="1"/>
  <c r="P25" i="1"/>
  <c r="P21" i="1"/>
  <c r="P34" i="1"/>
  <c r="D15" i="1"/>
  <c r="C19" i="1" s="1"/>
  <c r="P23" i="1"/>
  <c r="P33" i="1"/>
  <c r="P31" i="1"/>
  <c r="P24" i="1"/>
  <c r="P36" i="1"/>
  <c r="P22" i="1"/>
  <c r="P30" i="1"/>
  <c r="D16" i="1"/>
  <c r="D19" i="1" s="1"/>
  <c r="C16" i="1"/>
  <c r="D18" i="1" s="1"/>
  <c r="S19" i="1"/>
  <c r="E19" i="1" s="1"/>
  <c r="R19" i="1"/>
  <c r="E18" i="1" s="1"/>
  <c r="O28" i="1"/>
  <c r="O34" i="1"/>
  <c r="O40" i="1"/>
  <c r="O36" i="1"/>
  <c r="O27" i="1"/>
  <c r="O22" i="1"/>
  <c r="C15" i="1"/>
  <c r="O24" i="1"/>
  <c r="O29" i="1"/>
  <c r="O41" i="1"/>
  <c r="O39" i="1"/>
  <c r="O32" i="1"/>
  <c r="O37" i="1"/>
  <c r="O25" i="1"/>
  <c r="O30" i="1"/>
  <c r="O26" i="1"/>
  <c r="O21" i="1"/>
  <c r="O23" i="1"/>
  <c r="O35" i="1"/>
  <c r="O31" i="1"/>
  <c r="O33" i="1"/>
  <c r="F14" i="1" l="1"/>
  <c r="F16" i="1" s="1"/>
  <c r="C18" i="1"/>
  <c r="F15" i="1" l="1"/>
</calcChain>
</file>

<file path=xl/sharedStrings.xml><?xml version="1.0" encoding="utf-8"?>
<sst xmlns="http://schemas.openxmlformats.org/spreadsheetml/2006/main" count="112" uniqueCount="54">
  <si>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</si>
  <si>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</si>
  <si>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</si>
  <si>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</si>
  <si>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</si>
  <si>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</si>
  <si>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</si>
  <si>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</si>
  <si>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</si>
  <si>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</si>
  <si>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</si>
  <si>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</si>
  <si>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</si>
  <si>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</si>
  <si>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</si>
  <si>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</si>
  <si>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</si>
  <si>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</si>
  <si>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</si>
  <si>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</si>
  <si>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</si>
  <si>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</si>
  <si>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</si>
  <si>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</si>
  <si>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</si>
  <si>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</si>
  <si>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</si>
  <si>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</si>
  <si>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</si>
  <si>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</si>
  <si>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</si>
  <si>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</si>
  <si>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</si>
  <si>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</si>
  <si>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</si>
  <si>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</si>
  <si>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</si>
  <si>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VSX</t>
  </si>
  <si>
    <t>IBVS 5618</t>
  </si>
  <si>
    <t>II</t>
  </si>
  <si>
    <t>pg</t>
  </si>
  <si>
    <t>I</t>
  </si>
  <si>
    <t>??</t>
  </si>
  <si>
    <t>CCD</t>
  </si>
  <si>
    <t>IBVS 6007</t>
  </si>
  <si>
    <t>OEJV 0074</t>
  </si>
  <si>
    <t>EA</t>
  </si>
  <si>
    <t>not avail.</t>
  </si>
  <si>
    <t>IBVS</t>
  </si>
  <si>
    <t>V0432 Dra / GSC 4232-2830</t>
  </si>
  <si>
    <t xml:space="preserve">Mag </t>
  </si>
  <si>
    <t>Next ToM-P</t>
  </si>
  <si>
    <t>Next ToM-S</t>
  </si>
  <si>
    <t>12.24-12.84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</si>
</sst>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0" xfId="0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10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22" fontId="9" fillId="0" borderId="8" xfId="0" applyNumberFormat="1" applyFont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9" fillId="0" borderId="10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Dra - O-C Diagr.</a:t>
            </a:r>
          </a:p>
        </c:rich>
      </c:tx>
      <c:layout>
        <c:manualLayout>
          <c:xMode val="edge"/>
          <c:yMode val="edge"/>
          <c:x val="0.3596774193548387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1'!$D$21:$D$52</c:f>
                <c:numCache>
                  <c:formatCode>General</c:formatCode>
                  <c:ptCount val="3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1.5E-3</c:v>
                  </c:pt>
                  <c:pt idx="20">
                    <c:v>3.8000000000000002E-4</c:v>
                  </c:pt>
                </c:numCache>
              </c:numRef>
            </c:plus>
            <c:minus>
              <c:numRef>
                <c:f>'Active 1'!$D$21:$D$52</c:f>
                <c:numCache>
                  <c:formatCode>General</c:formatCode>
                  <c:ptCount val="3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1.5E-3</c:v>
                  </c:pt>
                  <c:pt idx="20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  <c:pt idx="0">
                  <c:v>2.3241899999920861</c:v>
                </c:pt>
                <c:pt idx="1">
                  <c:v>4.6280000024125911E-3</c:v>
                </c:pt>
                <c:pt idx="2">
                  <c:v>3.0407999998715241E-2</c:v>
                </c:pt>
                <c:pt idx="3">
                  <c:v>2.3253140000015264</c:v>
                </c:pt>
                <c:pt idx="4">
                  <c:v>-2.4916000002122018E-2</c:v>
                </c:pt>
                <c:pt idx="5">
                  <c:v>6.2519999999494758E-2</c:v>
                </c:pt>
                <c:pt idx="6">
                  <c:v>-6.3856000000669155E-2</c:v>
                </c:pt>
                <c:pt idx="7">
                  <c:v>2.3238620000047376</c:v>
                </c:pt>
                <c:pt idx="8">
                  <c:v>-1.2984000000869855E-2</c:v>
                </c:pt>
                <c:pt idx="9">
                  <c:v>2.2451999997429084E-2</c:v>
                </c:pt>
                <c:pt idx="10">
                  <c:v>9.0571999993699137E-2</c:v>
                </c:pt>
                <c:pt idx="11">
                  <c:v>8.65159999957541E-2</c:v>
                </c:pt>
                <c:pt idx="12">
                  <c:v>1.5679999996791594E-3</c:v>
                </c:pt>
                <c:pt idx="13">
                  <c:v>2.3059100000027684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7F-48FA-98F7-89B3766401F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7F-48FA-98F7-89B3766401F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  <c:pt idx="14">
                  <c:v>-4.3600000208243728E-4</c:v>
                </c:pt>
                <c:pt idx="15">
                  <c:v>2.30648199999996</c:v>
                </c:pt>
                <c:pt idx="16">
                  <c:v>0</c:v>
                </c:pt>
                <c:pt idx="18">
                  <c:v>2.3065419999984442</c:v>
                </c:pt>
                <c:pt idx="19">
                  <c:v>-5.45599999895785E-3</c:v>
                </c:pt>
                <c:pt idx="20">
                  <c:v>2.306032000000414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7F-48FA-98F7-89B3766401F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7F-48FA-98F7-89B3766401F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7F-48FA-98F7-89B3766401F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7F-48FA-98F7-89B3766401F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7F-48FA-98F7-89B3766401F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1.0660997900825012E-2</c:v>
                </c:pt>
                <c:pt idx="1">
                  <c:v>1.0823624685242941E-2</c:v>
                </c:pt>
                <c:pt idx="2">
                  <c:v>1.2978760121025253E-2</c:v>
                </c:pt>
                <c:pt idx="3">
                  <c:v>1.2980082290004261E-2</c:v>
                </c:pt>
                <c:pt idx="4">
                  <c:v>1.3700664383563379E-2</c:v>
                </c:pt>
                <c:pt idx="5">
                  <c:v>1.3708597397437423E-2</c:v>
                </c:pt>
                <c:pt idx="6">
                  <c:v>1.3713886073353453E-2</c:v>
                </c:pt>
                <c:pt idx="7">
                  <c:v>1.3717852580290476E-2</c:v>
                </c:pt>
                <c:pt idx="8">
                  <c:v>1.3729752101101545E-2</c:v>
                </c:pt>
                <c:pt idx="9">
                  <c:v>1.3737685114975589E-2</c:v>
                </c:pt>
                <c:pt idx="10">
                  <c:v>1.3764128494555741E-2</c:v>
                </c:pt>
                <c:pt idx="11">
                  <c:v>1.4060294345853434E-2</c:v>
                </c:pt>
                <c:pt idx="12">
                  <c:v>1.411582544297175E-2</c:v>
                </c:pt>
                <c:pt idx="13">
                  <c:v>1.4125080625824803E-2</c:v>
                </c:pt>
                <c:pt idx="14">
                  <c:v>1.413698014663587E-2</c:v>
                </c:pt>
                <c:pt idx="15">
                  <c:v>1.4140946653572893E-2</c:v>
                </c:pt>
                <c:pt idx="16">
                  <c:v>1.4144913160509916E-2</c:v>
                </c:pt>
                <c:pt idx="17">
                  <c:v>1.4144913160509916E-2</c:v>
                </c:pt>
                <c:pt idx="18">
                  <c:v>1.415416834336297E-2</c:v>
                </c:pt>
                <c:pt idx="19">
                  <c:v>1.425597535474655E-2</c:v>
                </c:pt>
                <c:pt idx="20">
                  <c:v>1.4352493690214102E-2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F2-4A44-A462-6D9312761A3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2.3286871174970178</c:v>
                </c:pt>
                <c:pt idx="1">
                  <c:v>2.3278326725292211</c:v>
                </c:pt>
                <c:pt idx="2">
                  <c:v>2.316509540029148</c:v>
                </c:pt>
                <c:pt idx="3">
                  <c:v>2.3165025933220931</c:v>
                </c:pt>
                <c:pt idx="4">
                  <c:v>2.3127166379769766</c:v>
                </c:pt>
                <c:pt idx="5">
                  <c:v>2.3126749577346448</c:v>
                </c:pt>
                <c:pt idx="6">
                  <c:v>2.3126471709064238</c:v>
                </c:pt>
                <c:pt idx="7">
                  <c:v>2.3126263307852581</c:v>
                </c:pt>
                <c:pt idx="8">
                  <c:v>2.3125638104217607</c:v>
                </c:pt>
                <c:pt idx="9">
                  <c:v>2.3125221301794294</c:v>
                </c:pt>
                <c:pt idx="10">
                  <c:v>2.3123831960383243</c:v>
                </c:pt>
                <c:pt idx="11">
                  <c:v>2.3108271336579462</c:v>
                </c:pt>
                <c:pt idx="12">
                  <c:v>2.3105353719616253</c:v>
                </c:pt>
                <c:pt idx="13">
                  <c:v>2.3104867450122382</c:v>
                </c:pt>
                <c:pt idx="14">
                  <c:v>2.3104242246487412</c:v>
                </c:pt>
                <c:pt idx="15">
                  <c:v>2.3104033845275751</c:v>
                </c:pt>
                <c:pt idx="16">
                  <c:v>2.3103825444064094</c:v>
                </c:pt>
                <c:pt idx="17">
                  <c:v>2.3103825444064094</c:v>
                </c:pt>
                <c:pt idx="18">
                  <c:v>2.3103339174570228</c:v>
                </c:pt>
                <c:pt idx="19">
                  <c:v>2.3097990210137676</c:v>
                </c:pt>
                <c:pt idx="20">
                  <c:v>2.3092919113987338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F2-4A44-A462-6D931276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83704"/>
        <c:axId val="1"/>
      </c:scatterChart>
      <c:valAx>
        <c:axId val="79428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8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483870967741937"/>
          <c:y val="0.92097264437689974"/>
          <c:w val="0.64516133596507985"/>
          <c:h val="5.76259160265517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Dra - Prim. O-C Diagr.</a:t>
            </a:r>
          </a:p>
        </c:rich>
      </c:tx>
      <c:layout>
        <c:manualLayout>
          <c:xMode val="edge"/>
          <c:yMode val="edge"/>
          <c:x val="0.274428492696209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1'!$R$21:$R$920</c:f>
              <c:numCache>
                <c:formatCode>General</c:formatCode>
                <c:ptCount val="900"/>
                <c:pt idx="1">
                  <c:v>4.6280000024125911E-3</c:v>
                </c:pt>
                <c:pt idx="2">
                  <c:v>3.0407999998715241E-2</c:v>
                </c:pt>
                <c:pt idx="4">
                  <c:v>-2.4916000002122018E-2</c:v>
                </c:pt>
                <c:pt idx="5">
                  <c:v>6.2519999999494758E-2</c:v>
                </c:pt>
                <c:pt idx="6">
                  <c:v>-6.3856000000669155E-2</c:v>
                </c:pt>
                <c:pt idx="8">
                  <c:v>-1.2984000000869855E-2</c:v>
                </c:pt>
                <c:pt idx="9">
                  <c:v>2.2451999997429084E-2</c:v>
                </c:pt>
                <c:pt idx="10">
                  <c:v>9.0571999993699137E-2</c:v>
                </c:pt>
                <c:pt idx="11">
                  <c:v>8.65159999957541E-2</c:v>
                </c:pt>
                <c:pt idx="12">
                  <c:v>1.5679999996791594E-3</c:v>
                </c:pt>
                <c:pt idx="14">
                  <c:v>-4.3600000208243728E-4</c:v>
                </c:pt>
                <c:pt idx="16">
                  <c:v>0</c:v>
                </c:pt>
                <c:pt idx="17">
                  <c:v>0</c:v>
                </c:pt>
                <c:pt idx="19">
                  <c:v>-5.45599999895785E-3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65-46B8-9431-D606B4229888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1.0660997900825012E-2</c:v>
                </c:pt>
                <c:pt idx="1">
                  <c:v>1.0823624685242941E-2</c:v>
                </c:pt>
                <c:pt idx="2">
                  <c:v>1.2978760121025253E-2</c:v>
                </c:pt>
                <c:pt idx="3">
                  <c:v>1.2980082290004261E-2</c:v>
                </c:pt>
                <c:pt idx="4">
                  <c:v>1.3700664383563379E-2</c:v>
                </c:pt>
                <c:pt idx="5">
                  <c:v>1.3708597397437423E-2</c:v>
                </c:pt>
                <c:pt idx="6">
                  <c:v>1.3713886073353453E-2</c:v>
                </c:pt>
                <c:pt idx="7">
                  <c:v>1.3717852580290476E-2</c:v>
                </c:pt>
                <c:pt idx="8">
                  <c:v>1.3729752101101545E-2</c:v>
                </c:pt>
                <c:pt idx="9">
                  <c:v>1.3737685114975589E-2</c:v>
                </c:pt>
                <c:pt idx="10">
                  <c:v>1.3764128494555741E-2</c:v>
                </c:pt>
                <c:pt idx="11">
                  <c:v>1.4060294345853434E-2</c:v>
                </c:pt>
                <c:pt idx="12">
                  <c:v>1.411582544297175E-2</c:v>
                </c:pt>
                <c:pt idx="13">
                  <c:v>1.4125080625824803E-2</c:v>
                </c:pt>
                <c:pt idx="14">
                  <c:v>1.413698014663587E-2</c:v>
                </c:pt>
                <c:pt idx="15">
                  <c:v>1.4140946653572893E-2</c:v>
                </c:pt>
                <c:pt idx="16">
                  <c:v>1.4144913160509916E-2</c:v>
                </c:pt>
                <c:pt idx="17">
                  <c:v>1.4144913160509916E-2</c:v>
                </c:pt>
                <c:pt idx="18">
                  <c:v>1.415416834336297E-2</c:v>
                </c:pt>
                <c:pt idx="19">
                  <c:v>1.425597535474655E-2</c:v>
                </c:pt>
                <c:pt idx="20">
                  <c:v>1.4352493690214102E-2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65-46B8-9431-D606B4229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72904"/>
        <c:axId val="1"/>
      </c:scatterChart>
      <c:valAx>
        <c:axId val="794272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72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Dra - Sec. O-C Diagr.</a:t>
            </a:r>
          </a:p>
        </c:rich>
      </c:tx>
      <c:layout>
        <c:manualLayout>
          <c:xMode val="edge"/>
          <c:yMode val="edge"/>
          <c:x val="0.2836736836466869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1458966565349544"/>
          <c:w val="0.7673477034316240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1'!$S$21:$S$920</c:f>
              <c:numCache>
                <c:formatCode>General</c:formatCode>
                <c:ptCount val="900"/>
                <c:pt idx="0">
                  <c:v>2.3241899999920861</c:v>
                </c:pt>
                <c:pt idx="3">
                  <c:v>2.3253140000015264</c:v>
                </c:pt>
                <c:pt idx="7">
                  <c:v>2.3238620000047376</c:v>
                </c:pt>
                <c:pt idx="13">
                  <c:v>2.3059100000027684</c:v>
                </c:pt>
                <c:pt idx="15">
                  <c:v>2.30648199999996</c:v>
                </c:pt>
                <c:pt idx="18">
                  <c:v>2.3065419999984442</c:v>
                </c:pt>
                <c:pt idx="20">
                  <c:v>2.306032000000414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46-4C43-A34B-7D96C036D524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-1317.5</c:v>
                </c:pt>
                <c:pt idx="1">
                  <c:v>-1256</c:v>
                </c:pt>
                <c:pt idx="2">
                  <c:v>-441</c:v>
                </c:pt>
                <c:pt idx="3">
                  <c:v>-440.5</c:v>
                </c:pt>
                <c:pt idx="4">
                  <c:v>-168</c:v>
                </c:pt>
                <c:pt idx="5">
                  <c:v>-165</c:v>
                </c:pt>
                <c:pt idx="6">
                  <c:v>-163</c:v>
                </c:pt>
                <c:pt idx="7">
                  <c:v>-161.5</c:v>
                </c:pt>
                <c:pt idx="8">
                  <c:v>-157</c:v>
                </c:pt>
                <c:pt idx="9">
                  <c:v>-154</c:v>
                </c:pt>
                <c:pt idx="10">
                  <c:v>-144</c:v>
                </c:pt>
                <c:pt idx="11">
                  <c:v>-32</c:v>
                </c:pt>
                <c:pt idx="12">
                  <c:v>-11</c:v>
                </c:pt>
                <c:pt idx="13">
                  <c:v>-7.5</c:v>
                </c:pt>
                <c:pt idx="14">
                  <c:v>-3</c:v>
                </c:pt>
                <c:pt idx="15">
                  <c:v>-1.5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42</c:v>
                </c:pt>
                <c:pt idx="20">
                  <c:v>78.5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2.3286871174970178</c:v>
                </c:pt>
                <c:pt idx="1">
                  <c:v>2.3278326725292211</c:v>
                </c:pt>
                <c:pt idx="2">
                  <c:v>2.316509540029148</c:v>
                </c:pt>
                <c:pt idx="3">
                  <c:v>2.3165025933220931</c:v>
                </c:pt>
                <c:pt idx="4">
                  <c:v>2.3127166379769766</c:v>
                </c:pt>
                <c:pt idx="5">
                  <c:v>2.3126749577346448</c:v>
                </c:pt>
                <c:pt idx="6">
                  <c:v>2.3126471709064238</c:v>
                </c:pt>
                <c:pt idx="7">
                  <c:v>2.3126263307852581</c:v>
                </c:pt>
                <c:pt idx="8">
                  <c:v>2.3125638104217607</c:v>
                </c:pt>
                <c:pt idx="9">
                  <c:v>2.3125221301794294</c:v>
                </c:pt>
                <c:pt idx="10">
                  <c:v>2.3123831960383243</c:v>
                </c:pt>
                <c:pt idx="11">
                  <c:v>2.3108271336579462</c:v>
                </c:pt>
                <c:pt idx="12">
                  <c:v>2.3105353719616253</c:v>
                </c:pt>
                <c:pt idx="13">
                  <c:v>2.3104867450122382</c:v>
                </c:pt>
                <c:pt idx="14">
                  <c:v>2.3104242246487412</c:v>
                </c:pt>
                <c:pt idx="15">
                  <c:v>2.3104033845275751</c:v>
                </c:pt>
                <c:pt idx="16">
                  <c:v>2.3103825444064094</c:v>
                </c:pt>
                <c:pt idx="17">
                  <c:v>2.3103825444064094</c:v>
                </c:pt>
                <c:pt idx="18">
                  <c:v>2.3103339174570228</c:v>
                </c:pt>
                <c:pt idx="19">
                  <c:v>2.3097990210137676</c:v>
                </c:pt>
                <c:pt idx="20">
                  <c:v>2.3092919113987338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6-4C43-A34B-7D96C036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25464"/>
        <c:axId val="1"/>
      </c:scatterChart>
      <c:valAx>
        <c:axId val="79432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126734158229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25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8779795382719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0</xdr:rowOff>
    </xdr:from>
    <xdr:to>
      <xdr:col>18</xdr:col>
      <xdr:colOff>476250</xdr:colOff>
      <xdr:row>18</xdr:row>
      <xdr:rowOff>104775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A2BAC7BB-3263-FDBA-B46C-564CC9C97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13</xdr:col>
      <xdr:colOff>266700</xdr:colOff>
      <xdr:row>20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427176-6A75-53BA-D40C-50EB32B22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209549</xdr:colOff>
      <xdr:row>20</xdr:row>
      <xdr:rowOff>142875</xdr:rowOff>
    </xdr:from>
    <xdr:to>
      <xdr:col>13</xdr:col>
      <xdr:colOff>219074</xdr:colOff>
      <xdr:row>41</xdr:row>
      <xdr:rowOff>152400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FF19D27-41A5-14A2-0667-E9C28950A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xSplit="11" ySplit="22" topLeftCell="L23" activePane="bottomRight" state="frozen"/>
      <selection pane="topRight" activeCell="L1" sqref="L1"/>
      <selection pane="bottomLeft" activeCell="A23" sqref="A23"/>
      <selection pane="bottomRight" activeCell="F18" sqref="F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" customWidth="1"/>
    <col min="4" max="4" width="10.7109375" customWidth="1"/>
    <col min="5" max="5" width="11.85546875" customWidth="1"/>
    <col min="6" max="6" width="16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</row>
    <row r="2" spans="1:6" ht="12.95" customHeight="1" x14ac:dyDescent="0.2">
      <c r="A2" t="s">
        <v>16</v>
      </c>
      <c r="B2" t="s">
        <v>46</v>
      </c>
    </row>
    <row r="3" spans="1:6" ht="12.95" customHeight="1" thickBot="1" x14ac:dyDescent="0.25">
      <c r="C3" s="9"/>
    </row>
    <row r="4" spans="1:6" ht="12.95" customHeight="1" thickTop="1" thickBot="1" x14ac:dyDescent="0.25">
      <c r="A4" s="6" t="s">
        <v>0</v>
      </c>
      <c r="C4" s="24" t="s">
        <v>47</v>
      </c>
      <c r="D4" s="25" t="s">
        <v>47</v>
      </c>
    </row>
    <row r="5" spans="1:6" ht="12.95" customHeight="1" thickTop="1" x14ac:dyDescent="0.2">
      <c r="A5" s="19" t="s">
        <v>31</v>
      </c>
      <c r="B5" s="13"/>
      <c r="C5" s="20">
        <v>-9.5</v>
      </c>
      <c r="D5" s="13" t="s">
        <v>32</v>
      </c>
    </row>
    <row r="6" spans="1:6" ht="12.95" customHeight="1" x14ac:dyDescent="0.2">
      <c r="A6" s="6" t="s">
        <v>1</v>
      </c>
      <c r="E6" s="36" t="s">
        <v>48</v>
      </c>
    </row>
    <row r="7" spans="1:6" ht="12.95" customHeight="1" x14ac:dyDescent="0.2">
      <c r="A7" t="s">
        <v>2</v>
      </c>
      <c r="C7" s="26">
        <v>53278.318500000001</v>
      </c>
      <c r="D7" s="22" t="s">
        <v>37</v>
      </c>
      <c r="E7" s="37">
        <v>38673.319000000003</v>
      </c>
    </row>
    <row r="8" spans="1:6" ht="12.95" customHeight="1" x14ac:dyDescent="0.2">
      <c r="A8" t="s">
        <v>3</v>
      </c>
      <c r="C8" s="26">
        <v>11.628188</v>
      </c>
      <c r="D8" s="10" t="s">
        <v>37</v>
      </c>
      <c r="E8" s="38">
        <v>11.628188</v>
      </c>
    </row>
    <row r="9" spans="1:6" ht="12.95" customHeight="1" x14ac:dyDescent="0.2">
      <c r="A9" s="11" t="s">
        <v>28</v>
      </c>
      <c r="B9" s="11"/>
      <c r="C9" s="12">
        <v>21</v>
      </c>
      <c r="D9" s="12">
        <v>21</v>
      </c>
    </row>
    <row r="10" spans="1:6" ht="12.95" customHeight="1" thickBot="1" x14ac:dyDescent="0.25">
      <c r="A10" s="13"/>
      <c r="B10" s="13"/>
      <c r="C10" s="5" t="s">
        <v>18</v>
      </c>
      <c r="D10" s="5" t="s">
        <v>19</v>
      </c>
      <c r="E10" s="30" t="s">
        <v>50</v>
      </c>
      <c r="F10" s="35" t="s">
        <v>53</v>
      </c>
    </row>
    <row r="11" spans="1:6" ht="12.95" customHeight="1" x14ac:dyDescent="0.2">
      <c r="A11" s="13" t="s">
        <v>13</v>
      </c>
      <c r="B11" s="13"/>
      <c r="C11" s="14">
        <f ca="1">INTERCEPT(INDIRECT(C14):R$934,INDIRECT(C13):$F$934)</f>
        <v>1.4144913160509916E-2</v>
      </c>
      <c r="D11" s="14">
        <f ca="1">INTERCEPT(INDIRECT(D14):S$934,INDIRECT(D13):$F$934)</f>
        <v>2.3103825444064094</v>
      </c>
      <c r="E11" s="31" t="s">
        <v>33</v>
      </c>
      <c r="F11" s="34">
        <v>1</v>
      </c>
    </row>
    <row r="12" spans="1:6" ht="12.95" customHeight="1" x14ac:dyDescent="0.2">
      <c r="A12" s="13" t="s">
        <v>14</v>
      </c>
      <c r="B12" s="13"/>
      <c r="C12" s="14">
        <f ca="1">SLOPE(INDIRECT(C14):R$934,INDIRECT(C13):$F$934)</f>
        <v>2.6443379580151082E-6</v>
      </c>
      <c r="D12" s="14">
        <f ca="1">SLOPE(INDIRECT(D14):S$934,INDIRECT(D13):$F$934)</f>
        <v>-1.389341411051875E-5</v>
      </c>
      <c r="E12" s="31" t="s">
        <v>34</v>
      </c>
      <c r="F12" s="27">
        <f ca="1">NOW()+15018.5+$C$5/24</f>
        <v>60536.716426620369</v>
      </c>
    </row>
    <row r="13" spans="1:6" ht="12.95" customHeight="1" x14ac:dyDescent="0.2">
      <c r="A13" s="11" t="s">
        <v>29</v>
      </c>
      <c r="B13" s="11"/>
      <c r="C13" s="12" t="str">
        <f>"F"&amp;C9</f>
        <v>F21</v>
      </c>
      <c r="D13" s="12" t="str">
        <f>"F"&amp;D9</f>
        <v>F21</v>
      </c>
      <c r="E13" s="31" t="s">
        <v>35</v>
      </c>
      <c r="F13" s="27">
        <f ca="1">ROUND(2*($F$12-$C$7)/$C$8,0)/2+$F$11</f>
        <v>625</v>
      </c>
    </row>
    <row r="14" spans="1:6" ht="12.95" customHeight="1" x14ac:dyDescent="0.2">
      <c r="A14" s="11" t="s">
        <v>30</v>
      </c>
      <c r="B14" s="11"/>
      <c r="C14" s="12" t="str">
        <f>"R"&amp;C9</f>
        <v>R21</v>
      </c>
      <c r="D14" s="12" t="str">
        <f>"S"&amp;D9</f>
        <v>S21</v>
      </c>
      <c r="E14" s="31" t="s">
        <v>36</v>
      </c>
      <c r="F14" s="28">
        <f ca="1">ROUND(2*($F$12-$C$15)/$C$16,0)/2+$F$11</f>
        <v>547</v>
      </c>
    </row>
    <row r="15" spans="1:6" ht="12.95" customHeight="1" x14ac:dyDescent="0.2">
      <c r="A15" s="15" t="s">
        <v>15</v>
      </c>
      <c r="B15" s="13"/>
      <c r="C15" s="16">
        <f ca="1">($C7+C11)+($C8+C12)*INT(MAX($F21:$F3532))</f>
        <v>54185.331515171521</v>
      </c>
      <c r="D15" s="16">
        <f ca="1">($C7+D11)+($C8+D12)*INT(MAX($F21:$F3532))</f>
        <v>54187.626462858105</v>
      </c>
      <c r="E15" s="31" t="s">
        <v>51</v>
      </c>
      <c r="F15" s="29">
        <f ca="1">+$C$15+$C$16*$F$14-15018.5-$C$5/24</f>
        <v>45527.847630957716</v>
      </c>
    </row>
    <row r="16" spans="1:6" ht="12.95" customHeight="1" x14ac:dyDescent="0.2">
      <c r="A16" s="17" t="s">
        <v>4</v>
      </c>
      <c r="B16" s="13"/>
      <c r="C16" s="18">
        <f ca="1">+$C8+C12</f>
        <v>11.628190644337957</v>
      </c>
      <c r="D16" s="14">
        <f ca="1">+$C8+D12</f>
        <v>11.62817410658589</v>
      </c>
      <c r="E16" s="32" t="s">
        <v>52</v>
      </c>
      <c r="F16" s="33">
        <f ca="1">+($D$15+$D$16*$F$14)-($D$16/2)-15018.5-$C$5/24</f>
        <v>45524.319445440626</v>
      </c>
    </row>
    <row r="17" spans="1:19" ht="12.95" customHeight="1" thickBot="1" x14ac:dyDescent="0.25">
      <c r="A17" s="10" t="s">
        <v>27</v>
      </c>
      <c r="C17">
        <f>COUNT(C21:C1246)</f>
        <v>21</v>
      </c>
    </row>
    <row r="18" spans="1:19" ht="12.95" customHeight="1" thickTop="1" thickBot="1" x14ac:dyDescent="0.25">
      <c r="A18" s="6" t="s">
        <v>21</v>
      </c>
      <c r="C18" s="3">
        <f ca="1">+C15</f>
        <v>54185.331515171521</v>
      </c>
      <c r="D18" s="4">
        <f ca="1">+C16</f>
        <v>11.628190644337957</v>
      </c>
      <c r="E18" s="21">
        <f>R19</f>
        <v>14</v>
      </c>
    </row>
    <row r="19" spans="1:19" ht="12.95" customHeight="1" thickTop="1" thickBot="1" x14ac:dyDescent="0.25">
      <c r="A19" s="6" t="s">
        <v>22</v>
      </c>
      <c r="C19" s="3">
        <f ca="1">+D15</f>
        <v>54187.626462858105</v>
      </c>
      <c r="D19" s="4">
        <f ca="1">+D16</f>
        <v>11.62817410658589</v>
      </c>
      <c r="E19" s="21">
        <f>S19</f>
        <v>7</v>
      </c>
      <c r="R19">
        <f>COUNT(R21:R321)</f>
        <v>14</v>
      </c>
      <c r="S19">
        <f>COUNT(S21:S321)</f>
        <v>7</v>
      </c>
    </row>
    <row r="20" spans="1:19" ht="12.95" customHeight="1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48</v>
      </c>
      <c r="I20" s="8" t="s">
        <v>37</v>
      </c>
      <c r="J20" s="8" t="s">
        <v>43</v>
      </c>
      <c r="K20" s="8" t="s">
        <v>25</v>
      </c>
      <c r="L20" s="8" t="s">
        <v>26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7" t="s">
        <v>18</v>
      </c>
      <c r="S20" s="7" t="s">
        <v>19</v>
      </c>
    </row>
    <row r="21" spans="1:19" ht="12.95" customHeight="1" x14ac:dyDescent="0.2">
      <c r="A21" s="22" t="s">
        <v>38</v>
      </c>
      <c r="B21" s="23" t="s">
        <v>39</v>
      </c>
      <c r="C21" s="22">
        <v>37960.504999999997</v>
      </c>
      <c r="D21" s="22" t="s">
        <v>40</v>
      </c>
      <c r="E21">
        <f>+(C21-C$7)/C$8</f>
        <v>-1317.3001244905918</v>
      </c>
      <c r="F21">
        <f>ROUND(2*E21,0)/2</f>
        <v>-1317.5</v>
      </c>
      <c r="G21">
        <f>+C21-(C$7+F21*C$8)</f>
        <v>2.3241899999920861</v>
      </c>
      <c r="H21">
        <f>+G21</f>
        <v>2.3241899999920861</v>
      </c>
      <c r="O21">
        <f ca="1">+C$11+C$12*$F21</f>
        <v>1.0660997900825012E-2</v>
      </c>
      <c r="P21">
        <f ca="1">+D$11+D$12*$F21</f>
        <v>2.3286871174970178</v>
      </c>
      <c r="Q21" s="2">
        <f>+C21-15018.5</f>
        <v>22942.004999999997</v>
      </c>
      <c r="S21">
        <f>G21</f>
        <v>2.3241899999920861</v>
      </c>
    </row>
    <row r="22" spans="1:19" ht="12.95" customHeight="1" x14ac:dyDescent="0.2">
      <c r="A22" s="22" t="s">
        <v>38</v>
      </c>
      <c r="B22" s="23" t="s">
        <v>41</v>
      </c>
      <c r="C22" s="22">
        <v>38673.319000000003</v>
      </c>
      <c r="D22" s="22" t="s">
        <v>40</v>
      </c>
      <c r="E22">
        <f>+(C22-C$7)/C$8</f>
        <v>-1255.9996020016188</v>
      </c>
      <c r="F22">
        <f>ROUND(2*E22,0)/2</f>
        <v>-1256</v>
      </c>
      <c r="G22">
        <f>+C22-(C$7+F22*C$8)</f>
        <v>4.6280000024125911E-3</v>
      </c>
      <c r="H22">
        <f>+G22</f>
        <v>4.6280000024125911E-3</v>
      </c>
      <c r="O22">
        <f ca="1">+C$11+C$12*$F22</f>
        <v>1.0823624685242941E-2</v>
      </c>
      <c r="P22">
        <f ca="1">+D$11+D$12*$F22</f>
        <v>2.3278326725292211</v>
      </c>
      <c r="Q22" s="2">
        <f>+C22-15018.5</f>
        <v>23654.819000000003</v>
      </c>
      <c r="R22">
        <f>G22</f>
        <v>4.6280000024125911E-3</v>
      </c>
    </row>
    <row r="23" spans="1:19" ht="12.95" customHeight="1" x14ac:dyDescent="0.2">
      <c r="A23" s="22" t="s">
        <v>38</v>
      </c>
      <c r="B23" s="23" t="s">
        <v>41</v>
      </c>
      <c r="C23" s="22">
        <v>48150.317999999999</v>
      </c>
      <c r="D23" s="22" t="s">
        <v>42</v>
      </c>
      <c r="E23">
        <f>+(C23-C$7)/C$8</f>
        <v>-440.99738497520008</v>
      </c>
      <c r="F23">
        <f>ROUND(2*E23,0)/2</f>
        <v>-441</v>
      </c>
      <c r="G23">
        <f>+C23-(C$7+F23*C$8)</f>
        <v>3.0407999998715241E-2</v>
      </c>
      <c r="H23">
        <f>+G23</f>
        <v>3.0407999998715241E-2</v>
      </c>
      <c r="O23">
        <f ca="1">+C$11+C$12*$F23</f>
        <v>1.2978760121025253E-2</v>
      </c>
      <c r="P23">
        <f ca="1">+D$11+D$12*$F23</f>
        <v>2.316509540029148</v>
      </c>
      <c r="Q23" s="2">
        <f>+C23-15018.5</f>
        <v>33131.817999999999</v>
      </c>
      <c r="R23">
        <f>G23</f>
        <v>3.0407999998715241E-2</v>
      </c>
    </row>
    <row r="24" spans="1:19" ht="12.95" customHeight="1" x14ac:dyDescent="0.2">
      <c r="A24" s="22" t="s">
        <v>38</v>
      </c>
      <c r="B24" s="23" t="s">
        <v>39</v>
      </c>
      <c r="C24" s="22">
        <v>48158.427000000003</v>
      </c>
      <c r="D24" s="22" t="s">
        <v>42</v>
      </c>
      <c r="E24">
        <f>+(C24-C$7)/C$8</f>
        <v>-440.30002782892728</v>
      </c>
      <c r="F24">
        <f>ROUND(2*E24,0)/2</f>
        <v>-440.5</v>
      </c>
      <c r="G24">
        <f>+C24-(C$7+F24*C$8)</f>
        <v>2.3253140000015264</v>
      </c>
      <c r="H24">
        <f>+G24</f>
        <v>2.3253140000015264</v>
      </c>
      <c r="O24">
        <f ca="1">+C$11+C$12*$F24</f>
        <v>1.2980082290004261E-2</v>
      </c>
      <c r="P24">
        <f ca="1">+D$11+D$12*$F24</f>
        <v>2.3165025933220931</v>
      </c>
      <c r="Q24" s="2">
        <f>+C24-15018.5</f>
        <v>33139.927000000003</v>
      </c>
      <c r="S24">
        <f>G24</f>
        <v>2.3253140000015264</v>
      </c>
    </row>
    <row r="25" spans="1:19" ht="12.95" customHeight="1" x14ac:dyDescent="0.2">
      <c r="A25" s="22" t="s">
        <v>38</v>
      </c>
      <c r="B25" s="23" t="s">
        <v>41</v>
      </c>
      <c r="C25" s="22">
        <v>51324.758000000002</v>
      </c>
      <c r="D25" s="22" t="s">
        <v>42</v>
      </c>
      <c r="E25">
        <f>+(C25-C$7)/C$8</f>
        <v>-168.00214272421462</v>
      </c>
      <c r="F25">
        <f>ROUND(2*E25,0)/2</f>
        <v>-168</v>
      </c>
      <c r="G25">
        <f>+C25-(C$7+F25*C$8)</f>
        <v>-2.4916000002122018E-2</v>
      </c>
      <c r="H25">
        <f>+G25</f>
        <v>-2.4916000002122018E-2</v>
      </c>
      <c r="O25">
        <f ca="1">+C$11+C$12*$F25</f>
        <v>1.3700664383563379E-2</v>
      </c>
      <c r="P25">
        <f ca="1">+D$11+D$12*$F25</f>
        <v>2.3127166379769766</v>
      </c>
      <c r="Q25" s="2">
        <f>+C25-15018.5</f>
        <v>36306.258000000002</v>
      </c>
      <c r="R25">
        <f>G25</f>
        <v>-2.4916000002122018E-2</v>
      </c>
    </row>
    <row r="26" spans="1:19" ht="12.95" customHeight="1" x14ac:dyDescent="0.2">
      <c r="A26" s="22" t="s">
        <v>38</v>
      </c>
      <c r="B26" s="23" t="s">
        <v>41</v>
      </c>
      <c r="C26" s="22">
        <v>51359.73</v>
      </c>
      <c r="D26" s="22" t="s">
        <v>42</v>
      </c>
      <c r="E26">
        <f>+(C26-C$7)/C$8</f>
        <v>-164.99462340994125</v>
      </c>
      <c r="F26">
        <f>ROUND(2*E26,0)/2</f>
        <v>-165</v>
      </c>
      <c r="G26">
        <f>+C26-(C$7+F26*C$8)</f>
        <v>6.2519999999494758E-2</v>
      </c>
      <c r="H26">
        <f>+G26</f>
        <v>6.2519999999494758E-2</v>
      </c>
      <c r="O26">
        <f ca="1">+C$11+C$12*$F26</f>
        <v>1.3708597397437423E-2</v>
      </c>
      <c r="P26">
        <f ca="1">+D$11+D$12*$F26</f>
        <v>2.3126749577346448</v>
      </c>
      <c r="Q26" s="2">
        <f>+C26-15018.5</f>
        <v>36341.230000000003</v>
      </c>
      <c r="R26">
        <f>G26</f>
        <v>6.2519999999494758E-2</v>
      </c>
    </row>
    <row r="27" spans="1:19" ht="12.95" customHeight="1" x14ac:dyDescent="0.2">
      <c r="A27" s="22" t="s">
        <v>38</v>
      </c>
      <c r="B27" s="23" t="s">
        <v>41</v>
      </c>
      <c r="C27" s="22">
        <v>51382.86</v>
      </c>
      <c r="D27" s="22" t="s">
        <v>42</v>
      </c>
      <c r="E27">
        <f>+(C27-C$7)/C$8</f>
        <v>-163.0054914832819</v>
      </c>
      <c r="F27">
        <f>ROUND(2*E27,0)/2</f>
        <v>-163</v>
      </c>
      <c r="G27">
        <f>+C27-(C$7+F27*C$8)</f>
        <v>-6.3856000000669155E-2</v>
      </c>
      <c r="H27">
        <f>+G27</f>
        <v>-6.3856000000669155E-2</v>
      </c>
      <c r="O27">
        <f ca="1">+C$11+C$12*$F27</f>
        <v>1.3713886073353453E-2</v>
      </c>
      <c r="P27">
        <f ca="1">+D$11+D$12*$F27</f>
        <v>2.3126471709064238</v>
      </c>
      <c r="Q27" s="2">
        <f>+C27-15018.5</f>
        <v>36364.36</v>
      </c>
      <c r="R27">
        <f>G27</f>
        <v>-6.3856000000669155E-2</v>
      </c>
    </row>
    <row r="28" spans="1:19" ht="12.95" customHeight="1" x14ac:dyDescent="0.2">
      <c r="A28" s="22" t="s">
        <v>38</v>
      </c>
      <c r="B28" s="23" t="s">
        <v>39</v>
      </c>
      <c r="C28" s="22">
        <v>51402.69</v>
      </c>
      <c r="D28" s="22" t="s">
        <v>42</v>
      </c>
      <c r="E28">
        <f>+(C28-C$7)/C$8</f>
        <v>-161.30015269790951</v>
      </c>
      <c r="F28">
        <f>ROUND(2*E28,0)/2</f>
        <v>-161.5</v>
      </c>
      <c r="G28">
        <f>+C28-(C$7+F28*C$8)</f>
        <v>2.3238620000047376</v>
      </c>
      <c r="H28">
        <f>+G28</f>
        <v>2.3238620000047376</v>
      </c>
      <c r="O28">
        <f ca="1">+C$11+C$12*$F28</f>
        <v>1.3717852580290476E-2</v>
      </c>
      <c r="P28">
        <f ca="1">+D$11+D$12*$F28</f>
        <v>2.3126263307852581</v>
      </c>
      <c r="Q28" s="2">
        <f>+C28-15018.5</f>
        <v>36384.19</v>
      </c>
      <c r="S28">
        <f>G28</f>
        <v>2.3238620000047376</v>
      </c>
    </row>
    <row r="29" spans="1:19" ht="12.95" customHeight="1" x14ac:dyDescent="0.2">
      <c r="A29" s="22" t="s">
        <v>38</v>
      </c>
      <c r="B29" s="23" t="s">
        <v>41</v>
      </c>
      <c r="C29" s="22">
        <v>51452.68</v>
      </c>
      <c r="D29" s="22" t="s">
        <v>42</v>
      </c>
      <c r="E29">
        <f>+(C29-C$7)/C$8</f>
        <v>-157.00111659701417</v>
      </c>
      <c r="F29">
        <f>ROUND(2*E29,0)/2</f>
        <v>-157</v>
      </c>
      <c r="G29">
        <f>+C29-(C$7+F29*C$8)</f>
        <v>-1.2984000000869855E-2</v>
      </c>
      <c r="H29">
        <f>+G29</f>
        <v>-1.2984000000869855E-2</v>
      </c>
      <c r="O29">
        <f ca="1">+C$11+C$12*$F29</f>
        <v>1.3729752101101545E-2</v>
      </c>
      <c r="P29">
        <f ca="1">+D$11+D$12*$F29</f>
        <v>2.3125638104217607</v>
      </c>
      <c r="Q29" s="2">
        <f>+C29-15018.5</f>
        <v>36434.18</v>
      </c>
      <c r="R29">
        <f>G29</f>
        <v>-1.2984000000869855E-2</v>
      </c>
    </row>
    <row r="30" spans="1:19" ht="12.95" customHeight="1" x14ac:dyDescent="0.2">
      <c r="A30" s="22" t="s">
        <v>38</v>
      </c>
      <c r="B30" s="23" t="s">
        <v>41</v>
      </c>
      <c r="C30" s="22">
        <v>51487.6</v>
      </c>
      <c r="D30" s="22" t="s">
        <v>42</v>
      </c>
      <c r="E30">
        <f>+(C30-C$7)/C$8</f>
        <v>-153.99806917466441</v>
      </c>
      <c r="F30">
        <f>ROUND(2*E30,0)/2</f>
        <v>-154</v>
      </c>
      <c r="G30">
        <f>+C30-(C$7+F30*C$8)</f>
        <v>2.2451999997429084E-2</v>
      </c>
      <c r="H30">
        <f>+G30</f>
        <v>2.2451999997429084E-2</v>
      </c>
      <c r="O30">
        <f ca="1">+C$11+C$12*$F30</f>
        <v>1.3737685114975589E-2</v>
      </c>
      <c r="P30">
        <f ca="1">+D$11+D$12*$F30</f>
        <v>2.3125221301794294</v>
      </c>
      <c r="Q30" s="2">
        <f>+C30-15018.5</f>
        <v>36469.1</v>
      </c>
      <c r="R30">
        <f>G30</f>
        <v>2.2451999997429084E-2</v>
      </c>
    </row>
    <row r="31" spans="1:19" ht="12.95" customHeight="1" x14ac:dyDescent="0.2">
      <c r="A31" s="22" t="s">
        <v>38</v>
      </c>
      <c r="B31" s="23" t="s">
        <v>41</v>
      </c>
      <c r="C31" s="22">
        <v>51603.95</v>
      </c>
      <c r="D31" s="22" t="s">
        <v>42</v>
      </c>
      <c r="E31">
        <f>+(C31-C$7)/C$8</f>
        <v>-143.99221099624501</v>
      </c>
      <c r="F31">
        <f>ROUND(2*E31,0)/2</f>
        <v>-144</v>
      </c>
      <c r="G31">
        <f>+C31-(C$7+F31*C$8)</f>
        <v>9.0571999993699137E-2</v>
      </c>
      <c r="H31">
        <f>+G31</f>
        <v>9.0571999993699137E-2</v>
      </c>
      <c r="O31">
        <f ca="1">+C$11+C$12*$F31</f>
        <v>1.3764128494555741E-2</v>
      </c>
      <c r="P31">
        <f ca="1">+D$11+D$12*$F31</f>
        <v>2.3123831960383243</v>
      </c>
      <c r="Q31" s="2">
        <f>+C31-15018.5</f>
        <v>36585.449999999997</v>
      </c>
      <c r="R31">
        <f>G31</f>
        <v>9.0571999993699137E-2</v>
      </c>
    </row>
    <row r="32" spans="1:19" ht="12.95" customHeight="1" x14ac:dyDescent="0.2">
      <c r="A32" s="22" t="s">
        <v>38</v>
      </c>
      <c r="B32" s="23" t="s">
        <v>41</v>
      </c>
      <c r="C32" s="22">
        <v>52906.303</v>
      </c>
      <c r="D32" s="22" t="s">
        <v>42</v>
      </c>
      <c r="E32">
        <f>+(C32-C$7)/C$8</f>
        <v>-31.992559803814778</v>
      </c>
      <c r="F32">
        <f>ROUND(2*E32,0)/2</f>
        <v>-32</v>
      </c>
      <c r="G32">
        <f>+C32-(C$7+F32*C$8)</f>
        <v>8.65159999957541E-2</v>
      </c>
      <c r="H32">
        <f>+G32</f>
        <v>8.65159999957541E-2</v>
      </c>
      <c r="O32">
        <f ca="1">+C$11+C$12*$F32</f>
        <v>1.4060294345853434E-2</v>
      </c>
      <c r="P32">
        <f ca="1">+D$11+D$12*$F32</f>
        <v>2.3108271336579462</v>
      </c>
      <c r="Q32" s="2">
        <f>+C32-15018.5</f>
        <v>37887.803</v>
      </c>
      <c r="R32">
        <f>G32</f>
        <v>8.65159999957541E-2</v>
      </c>
    </row>
    <row r="33" spans="1:19" x14ac:dyDescent="0.2">
      <c r="A33" s="22" t="s">
        <v>38</v>
      </c>
      <c r="B33" s="23" t="s">
        <v>41</v>
      </c>
      <c r="C33" s="22">
        <v>53150.41</v>
      </c>
      <c r="D33" s="22" t="s">
        <v>42</v>
      </c>
      <c r="E33">
        <f>+(C33-C$7)/C$8</f>
        <v>-10.999865155258732</v>
      </c>
      <c r="F33">
        <f>ROUND(2*E33,0)/2</f>
        <v>-11</v>
      </c>
      <c r="G33">
        <f>+C33-(C$7+F33*C$8)</f>
        <v>1.5679999996791594E-3</v>
      </c>
      <c r="H33">
        <f>+G33</f>
        <v>1.5679999996791594E-3</v>
      </c>
      <c r="O33">
        <f ca="1">+C$11+C$12*$F33</f>
        <v>1.411582544297175E-2</v>
      </c>
      <c r="P33">
        <f ca="1">+D$11+D$12*$F33</f>
        <v>2.3105353719616253</v>
      </c>
      <c r="Q33" s="2">
        <f>+C33-15018.5</f>
        <v>38131.910000000003</v>
      </c>
      <c r="R33">
        <f>G33</f>
        <v>1.5679999996791594E-3</v>
      </c>
    </row>
    <row r="34" spans="1:19" x14ac:dyDescent="0.2">
      <c r="A34" s="22" t="s">
        <v>38</v>
      </c>
      <c r="B34" s="23" t="s">
        <v>39</v>
      </c>
      <c r="C34" s="22">
        <v>53193.413</v>
      </c>
      <c r="D34" s="22" t="s">
        <v>42</v>
      </c>
      <c r="E34">
        <f>+(C34-C$7)/C$8</f>
        <v>-7.3016965325982657</v>
      </c>
      <c r="F34">
        <f>ROUND(2*E34,0)/2</f>
        <v>-7.5</v>
      </c>
      <c r="G34">
        <f>+C34-(C$7+F34*C$8)</f>
        <v>2.3059100000027684</v>
      </c>
      <c r="H34">
        <f>+G34</f>
        <v>2.3059100000027684</v>
      </c>
      <c r="O34">
        <f ca="1">+C$11+C$12*$F34</f>
        <v>1.4125080625824803E-2</v>
      </c>
      <c r="P34">
        <f ca="1">+D$11+D$12*$F34</f>
        <v>2.3104867450122382</v>
      </c>
      <c r="Q34" s="2">
        <f>+C34-15018.5</f>
        <v>38174.913</v>
      </c>
      <c r="S34">
        <f>G34</f>
        <v>2.3059100000027684</v>
      </c>
    </row>
    <row r="35" spans="1:19" x14ac:dyDescent="0.2">
      <c r="A35" s="22" t="s">
        <v>38</v>
      </c>
      <c r="B35" s="23" t="s">
        <v>41</v>
      </c>
      <c r="C35" s="22">
        <v>53243.433499999999</v>
      </c>
      <c r="D35" s="22" t="s">
        <v>43</v>
      </c>
      <c r="E35">
        <f>+(C35-C$7)/C$8</f>
        <v>-3.0000374950939936</v>
      </c>
      <c r="F35">
        <f>ROUND(2*E35,0)/2</f>
        <v>-3</v>
      </c>
      <c r="G35">
        <f>+C35-(C$7+F35*C$8)</f>
        <v>-4.3600000208243728E-4</v>
      </c>
      <c r="J35">
        <f>+G35</f>
        <v>-4.3600000208243728E-4</v>
      </c>
      <c r="O35">
        <f ca="1">+C$11+C$12*$F35</f>
        <v>1.413698014663587E-2</v>
      </c>
      <c r="P35">
        <f ca="1">+D$11+D$12*$F35</f>
        <v>2.3104242246487412</v>
      </c>
      <c r="Q35" s="2">
        <f>+C35-15018.5</f>
        <v>38224.933499999999</v>
      </c>
      <c r="R35">
        <f>G35</f>
        <v>-4.3600000208243728E-4</v>
      </c>
    </row>
    <row r="36" spans="1:19" x14ac:dyDescent="0.2">
      <c r="A36" s="22" t="s">
        <v>38</v>
      </c>
      <c r="B36" s="23" t="s">
        <v>39</v>
      </c>
      <c r="C36" s="22">
        <v>53263.182699999998</v>
      </c>
      <c r="D36" s="22" t="s">
        <v>43</v>
      </c>
      <c r="E36">
        <f>+(C36-C$7)/C$8</f>
        <v>-1.301647341787358</v>
      </c>
      <c r="F36">
        <f>ROUND(2*E36,0)/2</f>
        <v>-1.5</v>
      </c>
      <c r="G36">
        <f>+C36-(C$7+F36*C$8)</f>
        <v>2.30648199999996</v>
      </c>
      <c r="J36">
        <f>+G36</f>
        <v>2.30648199999996</v>
      </c>
      <c r="O36">
        <f ca="1">+C$11+C$12*$F36</f>
        <v>1.4140946653572893E-2</v>
      </c>
      <c r="P36">
        <f ca="1">+D$11+D$12*$F36</f>
        <v>2.3104033845275751</v>
      </c>
      <c r="Q36" s="2">
        <f>+C36-15018.5</f>
        <v>38244.682699999998</v>
      </c>
      <c r="S36">
        <f>G36</f>
        <v>2.30648199999996</v>
      </c>
    </row>
    <row r="37" spans="1:19" x14ac:dyDescent="0.2">
      <c r="A37" s="22" t="s">
        <v>38</v>
      </c>
      <c r="B37" s="23" t="s">
        <v>41</v>
      </c>
      <c r="C37" s="22">
        <v>53278.318500000001</v>
      </c>
      <c r="D37" s="22" t="s">
        <v>43</v>
      </c>
      <c r="E37">
        <f>+(C37-C$7)/C$8</f>
        <v>0</v>
      </c>
      <c r="F37">
        <f>ROUND(2*E37,0)/2</f>
        <v>0</v>
      </c>
      <c r="G37">
        <f>+C37-(C$7+F37*C$8)</f>
        <v>0</v>
      </c>
      <c r="J37">
        <f>+G37</f>
        <v>0</v>
      </c>
      <c r="O37">
        <f ca="1">+C$11+C$12*$F37</f>
        <v>1.4144913160509916E-2</v>
      </c>
      <c r="P37">
        <f ca="1">+D$11+D$12*$F37</f>
        <v>2.3103825444064094</v>
      </c>
      <c r="Q37" s="2">
        <f>+C37-15018.5</f>
        <v>38259.818500000001</v>
      </c>
      <c r="R37">
        <f>G37</f>
        <v>0</v>
      </c>
    </row>
    <row r="38" spans="1:19" x14ac:dyDescent="0.2">
      <c r="A38" s="22" t="s">
        <v>37</v>
      </c>
      <c r="C38" s="39">
        <v>53278.318500000001</v>
      </c>
      <c r="E38">
        <f>+(C38-C$7)/C$8</f>
        <v>0</v>
      </c>
      <c r="F38">
        <f>ROUND(2*E38,0)/2</f>
        <v>0</v>
      </c>
      <c r="G38">
        <f>+C38-(C$7+F38*C$8)</f>
        <v>0</v>
      </c>
      <c r="I38">
        <f>+G38</f>
        <v>0</v>
      </c>
      <c r="O38">
        <f ca="1">+C$11+C$12*$F38</f>
        <v>1.4144913160509916E-2</v>
      </c>
      <c r="P38">
        <f ca="1">+D$11+D$12*$F38</f>
        <v>2.3103825444064094</v>
      </c>
      <c r="Q38" s="2">
        <f>+C38-15018.5</f>
        <v>38259.818500000001</v>
      </c>
      <c r="R38">
        <v>0</v>
      </c>
    </row>
    <row r="39" spans="1:19" x14ac:dyDescent="0.2">
      <c r="A39" s="22" t="s">
        <v>38</v>
      </c>
      <c r="B39" s="23" t="s">
        <v>39</v>
      </c>
      <c r="C39" s="22">
        <v>53321.323700000001</v>
      </c>
      <c r="D39" s="22" t="s">
        <v>43</v>
      </c>
      <c r="E39">
        <f>+(C39-C$7)/C$8</f>
        <v>3.6983578180882186</v>
      </c>
      <c r="F39">
        <f>ROUND(2*E39,0)/2</f>
        <v>3.5</v>
      </c>
      <c r="G39">
        <f>+C39-(C$7+F39*C$8)</f>
        <v>2.3065419999984442</v>
      </c>
      <c r="J39">
        <f>+G39</f>
        <v>2.3065419999984442</v>
      </c>
      <c r="O39">
        <f ca="1">+C$11+C$12*$F39</f>
        <v>1.415416834336297E-2</v>
      </c>
      <c r="P39">
        <f ca="1">+D$11+D$12*$F39</f>
        <v>2.3103339174570228</v>
      </c>
      <c r="Q39" s="2">
        <f>+C39-15018.5</f>
        <v>38302.823700000001</v>
      </c>
      <c r="S39">
        <f>G39</f>
        <v>2.3065419999984442</v>
      </c>
    </row>
    <row r="40" spans="1:19" x14ac:dyDescent="0.2">
      <c r="A40" s="22" t="s">
        <v>45</v>
      </c>
      <c r="B40" s="23" t="s">
        <v>41</v>
      </c>
      <c r="C40" s="22">
        <v>53766.696940000002</v>
      </c>
      <c r="D40" s="22">
        <v>1.5E-3</v>
      </c>
      <c r="E40">
        <f>+(C40-C$7)/C$8</f>
        <v>41.999530795339773</v>
      </c>
      <c r="F40">
        <f>ROUND(2*E40,0)/2</f>
        <v>42</v>
      </c>
      <c r="G40">
        <f>+C40-(C$7+F40*C$8)</f>
        <v>-5.45599999895785E-3</v>
      </c>
      <c r="J40">
        <f>+G40</f>
        <v>-5.45599999895785E-3</v>
      </c>
      <c r="O40">
        <f ca="1">+C$11+C$12*$F40</f>
        <v>1.425597535474655E-2</v>
      </c>
      <c r="P40">
        <f ca="1">+D$11+D$12*$F40</f>
        <v>2.3097990210137676</v>
      </c>
      <c r="Q40" s="2">
        <f>+C40-15018.5</f>
        <v>38748.196940000002</v>
      </c>
      <c r="R40">
        <f>G40</f>
        <v>-5.45599999895785E-3</v>
      </c>
    </row>
    <row r="41" spans="1:19" x14ac:dyDescent="0.2">
      <c r="A41" s="22" t="s">
        <v>44</v>
      </c>
      <c r="B41" s="23" t="s">
        <v>39</v>
      </c>
      <c r="C41" s="22">
        <v>54193.437290000002</v>
      </c>
      <c r="D41" s="22">
        <v>3.8000000000000002E-4</v>
      </c>
      <c r="E41">
        <f>+(C41-C$7)/C$8</f>
        <v>78.69831395914828</v>
      </c>
      <c r="F41">
        <f>ROUND(2*E41,0)/2</f>
        <v>78.5</v>
      </c>
      <c r="G41">
        <f>+C41-(C$7+F41*C$8)</f>
        <v>2.306032000000414</v>
      </c>
      <c r="J41">
        <f>+G41</f>
        <v>2.306032000000414</v>
      </c>
      <c r="O41">
        <f ca="1">+C$11+C$12*$F41</f>
        <v>1.4352493690214102E-2</v>
      </c>
      <c r="P41">
        <f ca="1">+D$11+D$12*$F41</f>
        <v>2.3092919113987338</v>
      </c>
      <c r="Q41" s="2">
        <f>+C41-15018.5</f>
        <v>39174.937290000002</v>
      </c>
      <c r="S41">
        <f>G41</f>
        <v>2.306032000000414</v>
      </c>
    </row>
  </sheetData>
  <sortState xmlns:xlrd2="http://schemas.microsoft.com/office/spreadsheetml/2017/richdata2" ref="A21:AA41">
    <sortCondition ref="C21:C41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2024-08-14T05:11:39Z</dcterms:modified>
</cp:coreProperties>
</file>