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99CF0C9-6848-42B1-9621-BDE4C61610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7" i="1"/>
  <c r="F27" i="1" s="1"/>
  <c r="G27" i="1" s="1"/>
  <c r="K27" i="1" s="1"/>
  <c r="Q27" i="1"/>
  <c r="E25" i="1"/>
  <c r="F25" i="1" s="1"/>
  <c r="G25" i="1" s="1"/>
  <c r="K25" i="1" s="1"/>
  <c r="Q25" i="1"/>
  <c r="E26" i="1"/>
  <c r="F26" i="1"/>
  <c r="G26" i="1" s="1"/>
  <c r="K26" i="1" s="1"/>
  <c r="Q26" i="1"/>
  <c r="F23" i="1"/>
  <c r="D9" i="1"/>
  <c r="C9" i="1"/>
  <c r="G23" i="1"/>
  <c r="K23" i="1"/>
  <c r="Q24" i="1"/>
  <c r="E23" i="1"/>
  <c r="Q22" i="1"/>
  <c r="Q23" i="1"/>
  <c r="C8" i="1"/>
  <c r="E24" i="1"/>
  <c r="F24" i="1"/>
  <c r="G24" i="1"/>
  <c r="K24" i="1"/>
  <c r="E21" i="1"/>
  <c r="F21" i="1"/>
  <c r="G21" i="1"/>
  <c r="I21" i="1"/>
  <c r="D8" i="1"/>
  <c r="C17" i="1"/>
  <c r="Q21" i="1"/>
  <c r="E22" i="1"/>
  <c r="F22" i="1"/>
  <c r="G22" i="1"/>
  <c r="K22" i="1"/>
  <c r="C12" i="1"/>
  <c r="C11" i="1"/>
  <c r="F15" i="1" l="1"/>
  <c r="O27" i="1"/>
  <c r="O25" i="1"/>
  <c r="O26" i="1"/>
  <c r="C16" i="1"/>
  <c r="D18" i="1" s="1"/>
  <c r="O23" i="1"/>
  <c r="C15" i="1"/>
  <c r="O22" i="1"/>
  <c r="O21" i="1"/>
  <c r="O24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<sst xmlns="http://schemas.openxmlformats.org/spreadsheetml/2006/main" count="67" uniqueCount="59">
  <si>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</si>
  <si>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</si>
  <si>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</si>
  <si>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</si>
  <si>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</si>
  <si>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</si>
  <si>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</si>
  <si>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</si>
  <si>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</si>
  <si>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</si>
  <si>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</si>
  <si>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</si>
  <si>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</si>
  <si>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</si>
  <si>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</si>
  <si>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</si>
  <si>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</si>
  <si>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</si>
  <si>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</si>
  <si>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</si>
  <si>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</si>
  <si>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</si>
  <si>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</si>
  <si>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</si>
  <si>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</si>
  <si>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</si>
  <si>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</si>
  <si>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</si>
  <si>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</si>
  <si>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</si>
  <si>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</si>
  <si>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</si>
  <si>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</si>
  <si>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</si>
  <si>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</si>
  <si>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</si>
  <si>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</si>
  <si>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</si>
  <si>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</si>
  <si>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</si>
  <si>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V0471 Dra  </t>
  </si>
  <si>
    <t>2017K</t>
  </si>
  <si>
    <t>G3864-0488</t>
  </si>
  <si>
    <t xml:space="preserve">EW        </t>
  </si>
  <si>
    <t>pr_6</t>
  </si>
  <si>
    <t xml:space="preserve">           </t>
  </si>
  <si>
    <t>V0471 Dra   / GSC 3864-0488</t>
  </si>
  <si>
    <t>GCVS</t>
  </si>
  <si>
    <t>IBVS 6196</t>
  </si>
  <si>
    <t>I</t>
  </si>
  <si>
    <t>RHN 2020</t>
  </si>
  <si>
    <t>JBAV, 55</t>
  </si>
  <si>
    <t>JBAV, 63</t>
  </si>
  <si>
    <t>II</t>
  </si>
  <si>
    <t>OEJV 234</t>
  </si>
  <si>
    <t>Next ToM-P</t>
  </si>
  <si>
    <t>Next ToM-S</t>
  </si>
  <si>
    <t>11.13-11.25</t>
  </si>
  <si>
    <t xml:space="preserve">Mag 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</si>
</sst>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1" fillId="0" borderId="0" xfId="41" applyFont="1" applyAlignment="1">
      <alignment vertical="center" wrapText="1"/>
    </xf>
    <xf numFmtId="0" fontId="31" fillId="0" borderId="0" xfId="41" applyFont="1" applyAlignment="1">
      <alignment horizontal="center" vertical="center" wrapText="1"/>
    </xf>
    <xf numFmtId="0" fontId="31" fillId="0" borderId="0" xfId="41" applyFont="1" applyAlignment="1">
      <alignment horizontal="left" vertical="center" wrapText="1"/>
    </xf>
    <xf numFmtId="0" fontId="0" fillId="26" borderId="0" xfId="0" applyFill="1" applyAlignment="1">
      <alignment vertical="center"/>
    </xf>
    <xf numFmtId="0" fontId="33" fillId="0" borderId="0" xfId="0" applyFont="1" applyAlignment="1">
      <alignment horizontal="center" vertical="center"/>
    </xf>
    <xf numFmtId="166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165" fontId="33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34" fillId="0" borderId="14" xfId="0" applyFont="1" applyBorder="1" applyAlignment="1">
      <alignment horizontal="right" vertical="center"/>
    </xf>
    <xf numFmtId="0" fontId="34" fillId="0" borderId="17" xfId="0" applyFont="1" applyBorder="1" applyAlignment="1">
      <alignment horizontal="right" vertical="center"/>
    </xf>
    <xf numFmtId="0" fontId="16" fillId="27" borderId="12" xfId="0" applyFont="1" applyFill="1" applyBorder="1" applyAlignment="1">
      <alignment horizontal="right" vertical="center"/>
    </xf>
    <xf numFmtId="0" fontId="16" fillId="27" borderId="13" xfId="0" applyFont="1" applyFill="1" applyBorder="1" applyAlignment="1">
      <alignment horizontal="center" vertical="center"/>
    </xf>
    <xf numFmtId="0" fontId="35" fillId="0" borderId="15" xfId="0" applyFont="1" applyBorder="1" applyAlignment="1">
      <alignment horizontal="right" vertical="center"/>
    </xf>
    <xf numFmtId="0" fontId="36" fillId="0" borderId="15" xfId="0" applyFont="1" applyBorder="1" applyAlignment="1">
      <alignment horizontal="right" vertical="center"/>
    </xf>
    <xf numFmtId="22" fontId="36" fillId="0" borderId="15" xfId="0" applyNumberFormat="1" applyFont="1" applyBorder="1" applyAlignment="1">
      <alignment horizontal="right" vertical="center"/>
    </xf>
    <xf numFmtId="22" fontId="36" fillId="0" borderId="16" xfId="0" applyNumberFormat="1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V0471 Dra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  <c:pt idx="6">
                  <c:v>25831.5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DE-45AE-8C21-F8EB7E166BD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  <c:pt idx="6">
                  <c:v>25831.5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DE-45AE-8C21-F8EB7E166BD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  <c:pt idx="6">
                  <c:v>25831.5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DE-45AE-8C21-F8EB7E166BD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  <c:pt idx="6">
                  <c:v>25831.5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-0.16268999999738298</c:v>
                </c:pt>
                <c:pt idx="2">
                  <c:v>-0.16250500000023749</c:v>
                </c:pt>
                <c:pt idx="3">
                  <c:v>-0.20240999999805354</c:v>
                </c:pt>
                <c:pt idx="4">
                  <c:v>-0.20528000011108816</c:v>
                </c:pt>
                <c:pt idx="5">
                  <c:v>-0.21659999999974389</c:v>
                </c:pt>
                <c:pt idx="6">
                  <c:v>-0.22115499999927124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DE-45AE-8C21-F8EB7E166BD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  <c:pt idx="6">
                  <c:v>25831.5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DE-45AE-8C21-F8EB7E166BD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  <c:pt idx="6">
                  <c:v>25831.5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DE-45AE-8C21-F8EB7E166BD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  <c:pt idx="6">
                  <c:v>25831.5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DE-45AE-8C21-F8EB7E166BD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  <c:pt idx="6">
                  <c:v>25831.5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-9.0028650037665969E-3</c:v>
                </c:pt>
                <c:pt idx="1">
                  <c:v>-0.16280544357364626</c:v>
                </c:pt>
                <c:pt idx="2">
                  <c:v>-0.16280138052671408</c:v>
                </c:pt>
                <c:pt idx="3">
                  <c:v>-0.19925910064896088</c:v>
                </c:pt>
                <c:pt idx="4">
                  <c:v>-0.2090998003186457</c:v>
                </c:pt>
                <c:pt idx="5">
                  <c:v>-0.21776221637800489</c:v>
                </c:pt>
                <c:pt idx="6">
                  <c:v>-0.2189120586598054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DE-45AE-8C21-F8EB7E166BD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  <c:pt idx="6">
                  <c:v>25831.5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5DE-45AE-8C21-F8EB7E166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53704"/>
        <c:axId val="1"/>
      </c:scatterChart>
      <c:valAx>
        <c:axId val="67195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53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3DBA79B-5CD4-8ED1-EF69-A2EF3E4BB0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5703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7" t="s">
        <v>40</v>
      </c>
      <c r="G1" s="3" t="s">
        <v>41</v>
      </c>
      <c r="H1" s="8"/>
      <c r="I1" s="9" t="s">
        <v>42</v>
      </c>
      <c r="J1" s="10" t="s">
        <v>40</v>
      </c>
      <c r="K1" s="11">
        <v>15.0617</v>
      </c>
      <c r="L1" s="5">
        <v>56.410699999999999</v>
      </c>
      <c r="M1" s="6">
        <v>51418.644</v>
      </c>
      <c r="N1" s="6">
        <v>0.31996999999999998</v>
      </c>
      <c r="O1" s="4" t="s">
        <v>43</v>
      </c>
      <c r="P1" s="5">
        <v>11.13</v>
      </c>
      <c r="Q1" s="5">
        <v>11.25</v>
      </c>
      <c r="R1" s="12" t="s">
        <v>44</v>
      </c>
      <c r="S1" s="4" t="s">
        <v>45</v>
      </c>
    </row>
    <row r="2" spans="1:19" s="16" customFormat="1" ht="12.95" customHeight="1" x14ac:dyDescent="0.2">
      <c r="A2" s="16" t="s">
        <v>23</v>
      </c>
      <c r="B2" s="16" t="s">
        <v>43</v>
      </c>
      <c r="C2" s="17"/>
      <c r="D2" s="18"/>
    </row>
    <row r="3" spans="1:19" s="16" customFormat="1" ht="12.95" customHeight="1" thickBot="1" x14ac:dyDescent="0.25"/>
    <row r="4" spans="1:19" s="16" customFormat="1" ht="12.95" customHeight="1" thickTop="1" thickBot="1" x14ac:dyDescent="0.25">
      <c r="A4" s="19" t="s">
        <v>0</v>
      </c>
      <c r="C4" s="20">
        <v>51418.644</v>
      </c>
      <c r="D4" s="21">
        <v>0.31996999999999998</v>
      </c>
    </row>
    <row r="5" spans="1:19" s="16" customFormat="1" ht="12.95" customHeight="1" thickTop="1" x14ac:dyDescent="0.2">
      <c r="A5" s="22" t="s">
        <v>28</v>
      </c>
      <c r="C5" s="23">
        <v>-9.5</v>
      </c>
      <c r="D5" s="16" t="s">
        <v>29</v>
      </c>
    </row>
    <row r="6" spans="1:19" s="16" customFormat="1" ht="12.95" customHeight="1" x14ac:dyDescent="0.2">
      <c r="A6" s="19" t="s">
        <v>1</v>
      </c>
    </row>
    <row r="7" spans="1:19" s="16" customFormat="1" ht="12.95" customHeight="1" x14ac:dyDescent="0.2">
      <c r="A7" s="16" t="s">
        <v>2</v>
      </c>
      <c r="C7" s="51">
        <v>51418.644</v>
      </c>
      <c r="D7" s="25" t="s">
        <v>47</v>
      </c>
    </row>
    <row r="8" spans="1:19" s="16" customFormat="1" ht="12.95" customHeight="1" x14ac:dyDescent="0.2">
      <c r="A8" s="16" t="s">
        <v>3</v>
      </c>
      <c r="C8" s="51">
        <f>N1</f>
        <v>0.31996999999999998</v>
      </c>
      <c r="D8" s="25" t="str">
        <f>D7</f>
        <v>GCVS</v>
      </c>
    </row>
    <row r="9" spans="1:19" s="16" customFormat="1" ht="12.95" customHeight="1" x14ac:dyDescent="0.2">
      <c r="A9" s="26" t="s">
        <v>31</v>
      </c>
      <c r="B9" s="27">
        <v>22</v>
      </c>
      <c r="C9" s="28" t="str">
        <f>"F"&amp;B9</f>
        <v>F22</v>
      </c>
      <c r="D9" s="29" t="str">
        <f>"G"&amp;B9</f>
        <v>G22</v>
      </c>
    </row>
    <row r="10" spans="1:19" s="16" customFormat="1" ht="12.95" customHeight="1" thickBot="1" x14ac:dyDescent="0.25">
      <c r="C10" s="30" t="s">
        <v>19</v>
      </c>
      <c r="D10" s="30" t="s">
        <v>20</v>
      </c>
    </row>
    <row r="11" spans="1:19" s="16" customFormat="1" ht="12.95" customHeight="1" x14ac:dyDescent="0.2">
      <c r="A11" s="16" t="s">
        <v>15</v>
      </c>
      <c r="C11" s="29">
        <f ca="1">INTERCEPT(INDIRECT($D$9):G992,INDIRECT($C$9):F992)</f>
        <v>-9.0028650037665969E-3</v>
      </c>
      <c r="D11" s="18"/>
    </row>
    <row r="12" spans="1:19" s="16" customFormat="1" ht="12.95" customHeight="1" x14ac:dyDescent="0.2">
      <c r="A12" s="16" t="s">
        <v>16</v>
      </c>
      <c r="C12" s="29">
        <f ca="1">SLOPE(INDIRECT($D$9):G992,INDIRECT($C$9):F992)</f>
        <v>-8.1260938643144531E-6</v>
      </c>
      <c r="D12" s="18"/>
      <c r="E12" s="54" t="s">
        <v>58</v>
      </c>
      <c r="F12" s="55" t="s">
        <v>57</v>
      </c>
    </row>
    <row r="13" spans="1:19" s="16" customFormat="1" ht="12.95" customHeight="1" x14ac:dyDescent="0.2">
      <c r="A13" s="16" t="s">
        <v>18</v>
      </c>
      <c r="C13" s="18" t="s">
        <v>13</v>
      </c>
      <c r="E13" s="52" t="s">
        <v>33</v>
      </c>
      <c r="F13" s="56">
        <v>1</v>
      </c>
    </row>
    <row r="14" spans="1:19" s="16" customFormat="1" ht="12.95" customHeight="1" x14ac:dyDescent="0.2">
      <c r="E14" s="52" t="s">
        <v>30</v>
      </c>
      <c r="F14" s="57">
        <f ca="1">NOW()+15018.5+$C$5/24</f>
        <v>60536.733455324073</v>
      </c>
    </row>
    <row r="15" spans="1:19" s="16" customFormat="1" ht="12.95" customHeight="1" x14ac:dyDescent="0.2">
      <c r="A15" s="31" t="s">
        <v>17</v>
      </c>
      <c r="C15" s="32">
        <f ca="1">(C7+C11)+(C8+C12)*INT(MAX(F21:F3533))</f>
        <v>59683.570162004391</v>
      </c>
      <c r="E15" s="52" t="s">
        <v>34</v>
      </c>
      <c r="F15" s="57">
        <f ca="1">ROUND(2*($F$14-$C$7)/$C$8,0)/2+$F$13</f>
        <v>28497.5</v>
      </c>
    </row>
    <row r="16" spans="1:19" s="16" customFormat="1" ht="12.95" customHeight="1" x14ac:dyDescent="0.2">
      <c r="A16" s="19" t="s">
        <v>4</v>
      </c>
      <c r="C16" s="34">
        <f ca="1">+C8+C12</f>
        <v>0.31996187390613567</v>
      </c>
      <c r="E16" s="52" t="s">
        <v>35</v>
      </c>
      <c r="F16" s="57">
        <f ca="1">ROUND(2*($F$14-$C$15)/$C$16,0)/2+$F$13</f>
        <v>2667.5</v>
      </c>
    </row>
    <row r="17" spans="1:21" s="16" customFormat="1" ht="12.95" customHeight="1" thickBot="1" x14ac:dyDescent="0.25">
      <c r="A17" s="33" t="s">
        <v>27</v>
      </c>
      <c r="C17" s="16">
        <f>COUNT(C21:C2191)</f>
        <v>7</v>
      </c>
      <c r="E17" s="52" t="s">
        <v>55</v>
      </c>
      <c r="F17" s="58">
        <f ca="1">+$C$15+$C$16*$F$16-15018.5-$C$5/24</f>
        <v>45518.964293982346</v>
      </c>
    </row>
    <row r="18" spans="1:21" s="16" customFormat="1" ht="12.95" customHeight="1" thickTop="1" thickBot="1" x14ac:dyDescent="0.25">
      <c r="A18" s="19" t="s">
        <v>5</v>
      </c>
      <c r="C18" s="35">
        <f ca="1">+C15</f>
        <v>59683.570162004391</v>
      </c>
      <c r="D18" s="36">
        <f ca="1">+C16</f>
        <v>0.31996187390613567</v>
      </c>
      <c r="E18" s="53" t="s">
        <v>56</v>
      </c>
      <c r="F18" s="59">
        <f ca="1">+($C$15+$C$16*$F$16)-($C$16/2)-15018.5-$C$5/24</f>
        <v>45518.804313045395</v>
      </c>
    </row>
    <row r="19" spans="1:21" s="16" customFormat="1" ht="12.95" customHeight="1" thickTop="1" x14ac:dyDescent="0.2">
      <c r="E19" s="33"/>
      <c r="F19" s="37"/>
    </row>
    <row r="20" spans="1:21" s="16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38" t="s">
        <v>36</v>
      </c>
      <c r="I20" s="38" t="s">
        <v>37</v>
      </c>
      <c r="J20" s="38" t="s">
        <v>38</v>
      </c>
      <c r="K20" s="38" t="s">
        <v>39</v>
      </c>
      <c r="L20" s="38" t="s">
        <v>24</v>
      </c>
      <c r="M20" s="38" t="s">
        <v>25</v>
      </c>
      <c r="N20" s="38" t="s">
        <v>26</v>
      </c>
      <c r="O20" s="38" t="s">
        <v>22</v>
      </c>
      <c r="P20" s="39" t="s">
        <v>21</v>
      </c>
      <c r="Q20" s="30" t="s">
        <v>14</v>
      </c>
      <c r="U20" s="40" t="s">
        <v>32</v>
      </c>
    </row>
    <row r="21" spans="1:21" s="16" customFormat="1" ht="12.95" customHeight="1" x14ac:dyDescent="0.2">
      <c r="A21" s="16" t="s">
        <v>47</v>
      </c>
      <c r="C21" s="24">
        <v>51418.644</v>
      </c>
      <c r="D21" s="24" t="s">
        <v>13</v>
      </c>
      <c r="E21" s="16">
        <f>+(C21-C$7)/C$8</f>
        <v>0</v>
      </c>
      <c r="F21" s="16">
        <f>ROUND(2*E21,0)/2</f>
        <v>0</v>
      </c>
      <c r="G21" s="16">
        <f>+C21-(C$7+F21*C$8)</f>
        <v>0</v>
      </c>
      <c r="I21" s="16">
        <f>+G21</f>
        <v>0</v>
      </c>
      <c r="O21" s="16">
        <f ca="1">+C$11+C$12*$F21</f>
        <v>-9.0028650037665969E-3</v>
      </c>
      <c r="Q21" s="41">
        <f>+C21-15018.5</f>
        <v>36400.144</v>
      </c>
    </row>
    <row r="22" spans="1:21" s="16" customFormat="1" ht="12.95" customHeight="1" x14ac:dyDescent="0.2">
      <c r="A22" s="42" t="s">
        <v>48</v>
      </c>
      <c r="B22" s="43" t="s">
        <v>49</v>
      </c>
      <c r="C22" s="44">
        <v>57474.553500000002</v>
      </c>
      <c r="D22" s="44">
        <v>2.8E-3</v>
      </c>
      <c r="E22" s="16">
        <f>+(C22-C$7)/C$8</f>
        <v>18926.491546082452</v>
      </c>
      <c r="F22" s="45">
        <f>ROUND(2*E22,0)/2+0.5</f>
        <v>18927</v>
      </c>
      <c r="G22" s="16">
        <f>+C22-(C$7+F22*C$8)</f>
        <v>-0.16268999999738298</v>
      </c>
      <c r="K22" s="16">
        <f>+G22</f>
        <v>-0.16268999999738298</v>
      </c>
      <c r="O22" s="16">
        <f ca="1">+C$11+C$12*$F22</f>
        <v>-0.16280544357364626</v>
      </c>
      <c r="Q22" s="41">
        <f>+C22-15018.5</f>
        <v>42456.053500000002</v>
      </c>
    </row>
    <row r="23" spans="1:21" s="16" customFormat="1" ht="12.95" customHeight="1" x14ac:dyDescent="0.2">
      <c r="A23" s="42" t="s">
        <v>48</v>
      </c>
      <c r="B23" s="43" t="s">
        <v>49</v>
      </c>
      <c r="C23" s="44">
        <v>57474.393700000001</v>
      </c>
      <c r="D23" s="44">
        <v>3.8999999999999998E-3</v>
      </c>
      <c r="E23" s="16">
        <f>+(C23-C$7)/C$8</f>
        <v>18925.992124261651</v>
      </c>
      <c r="F23" s="45">
        <f>ROUND(2*E23,0)/2+0.5</f>
        <v>18926.5</v>
      </c>
      <c r="G23" s="16">
        <f>+C23-(C$7+F23*C$8)</f>
        <v>-0.16250500000023749</v>
      </c>
      <c r="K23" s="16">
        <f>+G23</f>
        <v>-0.16250500000023749</v>
      </c>
      <c r="O23" s="16">
        <f ca="1">+C$11+C$12*$F23</f>
        <v>-0.16280138052671408</v>
      </c>
      <c r="Q23" s="41">
        <f>+C23-15018.5</f>
        <v>42455.893700000001</v>
      </c>
    </row>
    <row r="24" spans="1:21" s="16" customFormat="1" ht="12.95" customHeight="1" x14ac:dyDescent="0.2">
      <c r="A24" s="19" t="s">
        <v>50</v>
      </c>
      <c r="C24" s="24">
        <v>58909.8992</v>
      </c>
      <c r="D24" s="24">
        <v>5.9999999999999995E-4</v>
      </c>
      <c r="E24" s="16">
        <f>+(C24-C$7)/C$8</f>
        <v>23412.367409444636</v>
      </c>
      <c r="F24" s="45">
        <f>ROUND(2*E24,0)/2+0.5</f>
        <v>23413</v>
      </c>
      <c r="G24" s="16">
        <f>+C24-(C$7+F24*C$8)</f>
        <v>-0.20240999999805354</v>
      </c>
      <c r="K24" s="16">
        <f>+G24</f>
        <v>-0.20240999999805354</v>
      </c>
      <c r="O24" s="16">
        <f ca="1">+C$11+C$12*$F24</f>
        <v>-0.19925910064896088</v>
      </c>
      <c r="Q24" s="41">
        <f>+C24-15018.5</f>
        <v>43891.3992</v>
      </c>
    </row>
    <row r="25" spans="1:21" s="16" customFormat="1" ht="12.95" customHeight="1" x14ac:dyDescent="0.2">
      <c r="A25" s="13" t="s">
        <v>51</v>
      </c>
      <c r="B25" s="14" t="s">
        <v>49</v>
      </c>
      <c r="C25" s="49">
        <v>59297.379999999888</v>
      </c>
      <c r="D25" s="50">
        <v>1E-3</v>
      </c>
      <c r="E25" s="16">
        <f t="shared" ref="E25:E26" si="0">+(C25-C$7)/C$8</f>
        <v>24623.358439853389</v>
      </c>
      <c r="F25" s="45">
        <f t="shared" ref="F25:F26" si="1">ROUND(2*E25,0)/2+0.5</f>
        <v>24624</v>
      </c>
      <c r="G25" s="16">
        <f t="shared" ref="G25:G26" si="2">+C25-(C$7+F25*C$8)</f>
        <v>-0.20528000011108816</v>
      </c>
      <c r="K25" s="16">
        <f t="shared" ref="K25:K26" si="3">+G25</f>
        <v>-0.20528000011108816</v>
      </c>
      <c r="O25" s="16">
        <f t="shared" ref="O25:O26" ca="1" si="4">+C$11+C$12*$F25</f>
        <v>-0.2090998003186457</v>
      </c>
      <c r="Q25" s="41">
        <f t="shared" ref="Q25:Q26" si="5">+C25-15018.5</f>
        <v>44278.879999999888</v>
      </c>
    </row>
    <row r="26" spans="1:21" s="16" customFormat="1" ht="12.95" customHeight="1" x14ac:dyDescent="0.2">
      <c r="A26" s="13" t="s">
        <v>52</v>
      </c>
      <c r="B26" s="14" t="s">
        <v>53</v>
      </c>
      <c r="C26" s="49">
        <v>59638.456700000002</v>
      </c>
      <c r="D26" s="50">
        <v>1.1000000000000001E-3</v>
      </c>
      <c r="E26" s="16">
        <f t="shared" si="0"/>
        <v>25689.323061537027</v>
      </c>
      <c r="F26" s="45">
        <f t="shared" si="1"/>
        <v>25690</v>
      </c>
      <c r="G26" s="16">
        <f t="shared" si="2"/>
        <v>-0.21659999999974389</v>
      </c>
      <c r="K26" s="16">
        <f t="shared" si="3"/>
        <v>-0.21659999999974389</v>
      </c>
      <c r="O26" s="16">
        <f t="shared" ca="1" si="4"/>
        <v>-0.21776221637800489</v>
      </c>
      <c r="Q26" s="41">
        <f t="shared" si="5"/>
        <v>44619.956700000002</v>
      </c>
    </row>
    <row r="27" spans="1:21" s="16" customFormat="1" ht="12.95" customHeight="1" x14ac:dyDescent="0.2">
      <c r="A27" s="15" t="s">
        <v>54</v>
      </c>
      <c r="B27" s="46" t="s">
        <v>53</v>
      </c>
      <c r="C27" s="47">
        <v>59683.727899999998</v>
      </c>
      <c r="D27" s="48">
        <v>2.9999999999999997E-4</v>
      </c>
      <c r="E27" s="16">
        <f t="shared" ref="E27" si="6">+(C27-C$7)/C$8</f>
        <v>25830.808825827415</v>
      </c>
      <c r="F27" s="16">
        <f t="shared" ref="F27" si="7">ROUND(2*E27,0)/2+0.5</f>
        <v>25831.5</v>
      </c>
      <c r="G27" s="16">
        <f t="shared" ref="G27" si="8">+C27-(C$7+F27*C$8)</f>
        <v>-0.22115499999927124</v>
      </c>
      <c r="K27" s="16">
        <f t="shared" ref="K27" si="9">+G27</f>
        <v>-0.22115499999927124</v>
      </c>
      <c r="O27" s="16">
        <f t="shared" ref="O27" ca="1" si="10">+C$11+C$12*$F27</f>
        <v>-0.2189120586598054</v>
      </c>
      <c r="Q27" s="41">
        <f t="shared" ref="Q27" si="11">+C27-15018.5</f>
        <v>44665.227899999998</v>
      </c>
    </row>
    <row r="28" spans="1:21" s="16" customFormat="1" ht="12.95" customHeight="1" x14ac:dyDescent="0.2">
      <c r="C28" s="24"/>
      <c r="D28" s="24"/>
      <c r="Q28" s="41"/>
    </row>
    <row r="29" spans="1:21" s="16" customFormat="1" ht="12.95" customHeight="1" x14ac:dyDescent="0.2">
      <c r="C29" s="24"/>
      <c r="D29" s="24"/>
      <c r="Q29" s="41"/>
    </row>
    <row r="30" spans="1:21" s="16" customFormat="1" ht="12.95" customHeight="1" x14ac:dyDescent="0.2">
      <c r="C30" s="24"/>
      <c r="D30" s="24"/>
      <c r="Q30" s="41"/>
    </row>
    <row r="31" spans="1:21" s="16" customFormat="1" ht="12.95" customHeight="1" x14ac:dyDescent="0.2">
      <c r="C31" s="24"/>
      <c r="D31" s="24"/>
      <c r="Q31" s="41"/>
    </row>
    <row r="32" spans="1:21" s="16" customFormat="1" ht="12.95" customHeight="1" x14ac:dyDescent="0.2">
      <c r="C32" s="24"/>
      <c r="D32" s="24"/>
      <c r="Q32" s="41"/>
    </row>
    <row r="33" spans="3:17" s="16" customFormat="1" ht="12.95" customHeight="1" x14ac:dyDescent="0.2">
      <c r="C33" s="24"/>
      <c r="D33" s="24"/>
      <c r="Q33" s="41"/>
    </row>
    <row r="34" spans="3:17" s="16" customFormat="1" ht="12.95" customHeight="1" x14ac:dyDescent="0.2">
      <c r="C34" s="24"/>
      <c r="D34" s="24"/>
    </row>
    <row r="35" spans="3:17" s="16" customFormat="1" ht="12.95" customHeight="1" x14ac:dyDescent="0.2">
      <c r="C35" s="24"/>
      <c r="D35" s="24"/>
    </row>
    <row r="36" spans="3:17" s="16" customFormat="1" ht="12.95" customHeight="1" x14ac:dyDescent="0.2">
      <c r="C36" s="24"/>
      <c r="D36" s="24"/>
    </row>
    <row r="37" spans="3:17" s="16" customFormat="1" ht="12.95" customHeight="1" x14ac:dyDescent="0.2">
      <c r="C37" s="24"/>
      <c r="D37" s="24"/>
    </row>
    <row r="38" spans="3:17" s="16" customFormat="1" ht="12.95" customHeight="1" x14ac:dyDescent="0.2">
      <c r="C38" s="24"/>
      <c r="D38" s="24"/>
    </row>
    <row r="39" spans="3:17" s="16" customFormat="1" ht="12.95" customHeight="1" x14ac:dyDescent="0.2">
      <c r="C39" s="24"/>
      <c r="D39" s="24"/>
    </row>
    <row r="40" spans="3:17" s="16" customFormat="1" ht="12.95" customHeight="1" x14ac:dyDescent="0.2">
      <c r="C40" s="24"/>
      <c r="D40" s="24"/>
    </row>
    <row r="41" spans="3:17" s="16" customFormat="1" ht="12.95" customHeight="1" x14ac:dyDescent="0.2">
      <c r="C41" s="24"/>
      <c r="D41" s="24"/>
    </row>
    <row r="42" spans="3:17" s="16" customFormat="1" ht="12.95" customHeight="1" x14ac:dyDescent="0.2">
      <c r="C42" s="24"/>
      <c r="D42" s="24"/>
    </row>
    <row r="43" spans="3:17" s="16" customFormat="1" ht="12.95" customHeight="1" x14ac:dyDescent="0.2">
      <c r="C43" s="24"/>
      <c r="D43" s="24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2024-08-14T05:36:10Z</dcterms:modified>
</cp:coreProperties>
</file>